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XI/"/>
    </mc:Choice>
  </mc:AlternateContent>
  <xr:revisionPtr revIDLastSave="24" documentId="13_ncr:1_{AF7B7B7F-676D-4C80-99E6-589F549DFD77}" xr6:coauthVersionLast="47" xr6:coauthVersionMax="47" xr10:uidLastSave="{CA1CB90D-2701-4144-9681-41DD1614D757}"/>
  <bookViews>
    <workbookView xWindow="-120" yWindow="-120" windowWidth="29040" windowHeight="15720" tabRatio="879" xr2:uid="{00000000-000D-0000-FFFF-FFFF00000000}"/>
  </bookViews>
  <sheets>
    <sheet name="Valor da Contratação" sheetId="1" r:id="rId1"/>
    <sheet name="Resumo" sheetId="2" r:id="rId2"/>
    <sheet name="Equipe Técnica" sheetId="3" r:id="rId3"/>
    <sheet name="Base Santa Maria" sheetId="4" r:id="rId4"/>
    <sheet name="Desl. Base Santa Maria" sheetId="5" r:id="rId5"/>
    <sheet name="Custo Eng. Eletricista" sheetId="18" r:id="rId6"/>
    <sheet name="Comp. Eng. Eletricista" sheetId="19" r:id="rId7"/>
    <sheet name="Custo Oficial de Manutenção" sheetId="16" r:id="rId8"/>
    <sheet name="Comp. Oficial de Manutenção" sheetId="17" r:id="rId9"/>
    <sheet name="Comp. Veículo" sheetId="12" r:id="rId10"/>
    <sheet name="Unidades" sheetId="13" r:id="rId11"/>
    <sheet name="BDI" sheetId="14" r:id="rId12"/>
    <sheet name="Divisão Custos ISSQN" sheetId="15" r:id="rId13"/>
  </sheets>
  <definedNames>
    <definedName name="___xlnm__FilterDatabase_6" localSheetId="6">#REF!</definedName>
    <definedName name="___xlnm__FilterDatabase_6" localSheetId="8">#REF!</definedName>
    <definedName name="___xlnm__FilterDatabase_6" localSheetId="5">#REF!</definedName>
    <definedName name="___xlnm__FilterDatabase_6" localSheetId="7">#REF!</definedName>
    <definedName name="___xlnm__FilterDatabase_6">#REF!</definedName>
    <definedName name="_FilterDatabase_3" localSheetId="6">#REF!</definedName>
    <definedName name="_FilterDatabase_3" localSheetId="8">#REF!</definedName>
    <definedName name="_FilterDatabase_3" localSheetId="5">#REF!</definedName>
    <definedName name="_FilterDatabase_3" localSheetId="7">#REF!</definedName>
    <definedName name="_FilterDatabase_3">#REF!</definedName>
    <definedName name="_xlnm_Print_Area" localSheetId="3">'Base Santa Maria'!$B$2:$AG$28</definedName>
    <definedName name="_xlnm_Print_Area" localSheetId="11">NA()</definedName>
    <definedName name="_xlnm_Print_Area" localSheetId="4">'Desl. Base Santa Maria'!$B$2:$M$37</definedName>
    <definedName name="_xlnm_Print_Area" localSheetId="2">'Equipe Técnica'!$B$2:$E$13</definedName>
    <definedName name="_xlnm_Print_Area" localSheetId="10">Unidades!$C$2:$F$19</definedName>
    <definedName name="_xlnm_Print_Area_0" localSheetId="3">'Base Santa Maria'!$B$2:$AG$28</definedName>
    <definedName name="_xlnm_Print_Area_0" localSheetId="11">NA()</definedName>
    <definedName name="_xlnm_Print_Area_0" localSheetId="4">'Desl. Base Santa Maria'!$B$2:$M$37</definedName>
    <definedName name="_xlnm_Print_Area_0" localSheetId="2">'Equipe Técnica'!$B$2:$E$13</definedName>
    <definedName name="_xlnm_Print_Area_0" localSheetId="10">Unidades!$C$2:$F$19</definedName>
    <definedName name="_xlnm.Print_Area" localSheetId="3">'Base Santa Maria'!$B$2:$AW$28</definedName>
    <definedName name="_xlnm.Print_Area" localSheetId="11">BDI!$B$1:$I$40</definedName>
    <definedName name="_xlnm.Print_Area" localSheetId="4">'Desl. Base Santa Maria'!$B$2:$M$37</definedName>
    <definedName name="_xlnm.Print_Area" localSheetId="2">'Equipe Técnica'!$B$2:$E$13</definedName>
    <definedName name="_xlnm.Print_Area" localSheetId="10">Unidades!$B$2:$H$19</definedName>
    <definedName name="Excel_BuiltIn__FilterDatabase_9_1" localSheetId="6">#REF!</definedName>
    <definedName name="Excel_BuiltIn__FilterDatabase_9_1" localSheetId="8">#REF!</definedName>
    <definedName name="Excel_BuiltIn__FilterDatabase_9_1" localSheetId="5">#REF!</definedName>
    <definedName name="Excel_BuiltIn__FilterDatabase_9_1" localSheetId="7">#REF!</definedName>
    <definedName name="Excel_BuiltIn__FilterDatabase_9_1">#REF!</definedName>
    <definedName name="Excel_BuiltIn_Print_Area" localSheetId="3">'Base Santa Maria'!$B$2:$AG$28</definedName>
    <definedName name="Excel_BuiltIn_Print_Area" localSheetId="11">NA()</definedName>
    <definedName name="Excel_BuiltIn_Print_Area" localSheetId="10">Unidades!$C$2:$F$19</definedName>
    <definedName name="Print_Area_0" localSheetId="3">'Base Santa Maria'!$B$2:$AG$29</definedName>
    <definedName name="Print_Area_0" localSheetId="11">NA()</definedName>
    <definedName name="Print_Area_0" localSheetId="4">'Desl. Base Santa Maria'!$B$2:$M$37</definedName>
    <definedName name="Print_Area_0" localSheetId="2">'Equipe Técnica'!$B$2:$E$13</definedName>
    <definedName name="Print_Area_0" localSheetId="10">Unidades!$C$2:$F$19</definedName>
    <definedName name="Print_Area_0_0" localSheetId="3">'Base Santa Maria'!$B$2:$AG$28</definedName>
    <definedName name="Print_Area_0_0" localSheetId="11">NA()</definedName>
    <definedName name="Print_Area_0_0" localSheetId="4">'Desl. Base Santa Maria'!$B$2:$M$37</definedName>
    <definedName name="Print_Area_0_0" localSheetId="2">'Equipe Técnica'!$B$2:$E$13</definedName>
    <definedName name="Print_Area_0_0" localSheetId="10">Unidades!$C$2:$F$19</definedName>
    <definedName name="Print_Area_0_0_0" localSheetId="3">'Base Santa Maria'!$B$4:$O$29</definedName>
    <definedName name="Print_Area_0_0_0" localSheetId="4">'Desl. Base Santa Maria'!$B$4:$L$37</definedName>
    <definedName name="Print_Area_0_0_0_0" localSheetId="3">'Base Santa Maria'!$B$4:$O$29</definedName>
    <definedName name="Print_Area_0_0_0_0" localSheetId="4">'Desl. Base Santa Maria'!$B$4:$L$37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3" l="1"/>
  <c r="G15" i="19"/>
  <c r="I15" i="19" s="1"/>
  <c r="I19" i="19"/>
  <c r="I18" i="19"/>
  <c r="I17" i="19"/>
  <c r="I16" i="19"/>
  <c r="I14" i="19"/>
  <c r="C14" i="18"/>
  <c r="C13" i="18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7" i="4"/>
  <c r="Q21" i="5"/>
  <c r="Q20" i="5"/>
  <c r="Q19" i="5"/>
  <c r="Q17" i="5"/>
  <c r="Q18" i="5" s="1"/>
  <c r="Q16" i="5"/>
  <c r="Q15" i="5"/>
  <c r="Q14" i="5"/>
  <c r="Q11" i="5"/>
  <c r="Q10" i="5"/>
  <c r="Q8" i="5"/>
  <c r="Q9" i="5" s="1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5" i="5"/>
  <c r="B28" i="4"/>
  <c r="C27" i="4"/>
  <c r="I22" i="17"/>
  <c r="I21" i="17"/>
  <c r="I20" i="17"/>
  <c r="I19" i="17"/>
  <c r="I18" i="17"/>
  <c r="I17" i="17"/>
  <c r="I16" i="17"/>
  <c r="D11" i="17" s="1"/>
  <c r="I15" i="17"/>
  <c r="I14" i="17"/>
  <c r="C17" i="16"/>
  <c r="C19" i="16" s="1"/>
  <c r="C16" i="16"/>
  <c r="C18" i="16" s="1"/>
  <c r="D11" i="19" l="1"/>
  <c r="P20" i="5"/>
  <c r="I20" i="5"/>
  <c r="K20" i="5" s="1"/>
  <c r="L20" i="5" s="1"/>
  <c r="O20" i="5" s="1"/>
  <c r="O21" i="5" s="1"/>
  <c r="E20" i="5"/>
  <c r="G20" i="5" s="1"/>
  <c r="P19" i="5"/>
  <c r="K19" i="5"/>
  <c r="L19" i="5" s="1"/>
  <c r="O19" i="5" s="1"/>
  <c r="G19" i="5"/>
  <c r="P17" i="5"/>
  <c r="I17" i="5"/>
  <c r="K17" i="5" s="1"/>
  <c r="L17" i="5" s="1"/>
  <c r="O17" i="5" s="1"/>
  <c r="O18" i="5" s="1"/>
  <c r="E17" i="5"/>
  <c r="G17" i="5" s="1"/>
  <c r="P15" i="5"/>
  <c r="K15" i="5"/>
  <c r="L15" i="5" s="1"/>
  <c r="O15" i="5" s="1"/>
  <c r="O16" i="5" s="1"/>
  <c r="G15" i="5"/>
  <c r="P14" i="5"/>
  <c r="K14" i="5"/>
  <c r="L14" i="5" s="1"/>
  <c r="O14" i="5" s="1"/>
  <c r="G14" i="5"/>
  <c r="P12" i="5"/>
  <c r="K12" i="5"/>
  <c r="L12" i="5" s="1"/>
  <c r="O12" i="5" s="1"/>
  <c r="O13" i="5" s="1"/>
  <c r="G12" i="5"/>
  <c r="P10" i="5"/>
  <c r="I10" i="5"/>
  <c r="K10" i="5" s="1"/>
  <c r="L10" i="5" s="1"/>
  <c r="O10" i="5" s="1"/>
  <c r="O11" i="5" s="1"/>
  <c r="E10" i="5"/>
  <c r="G10" i="5" s="1"/>
  <c r="P8" i="5"/>
  <c r="P9" i="5" s="1"/>
  <c r="I8" i="5"/>
  <c r="K8" i="5" s="1"/>
  <c r="L8" i="5" s="1"/>
  <c r="O8" i="5" s="1"/>
  <c r="O9" i="5" s="1"/>
  <c r="E8" i="5"/>
  <c r="G8" i="5" s="1"/>
  <c r="I6" i="5"/>
  <c r="K6" i="5" s="1"/>
  <c r="L6" i="5" s="1"/>
  <c r="O6" i="5" s="1"/>
  <c r="O7" i="5" s="1"/>
  <c r="E6" i="5"/>
  <c r="G6" i="5" s="1"/>
  <c r="K5" i="5"/>
  <c r="L5" i="5" s="1"/>
  <c r="O5" i="5" s="1"/>
  <c r="M22" i="5"/>
  <c r="N22" i="5"/>
  <c r="G22" i="5" l="1"/>
  <c r="L22" i="5"/>
  <c r="K22" i="5"/>
  <c r="B3" i="14" l="1"/>
  <c r="J43" i="14"/>
  <c r="J44" i="14" s="1"/>
  <c r="I43" i="14"/>
  <c r="I44" i="14" s="1"/>
  <c r="H43" i="14"/>
  <c r="H44" i="14" s="1"/>
  <c r="G43" i="14"/>
  <c r="G44" i="14" s="1"/>
  <c r="F43" i="14"/>
  <c r="F44" i="14" s="1"/>
  <c r="E43" i="14"/>
  <c r="E44" i="14" s="1"/>
  <c r="D43" i="14"/>
  <c r="D44" i="14" s="1"/>
  <c r="J29" i="14"/>
  <c r="J30" i="14" s="1"/>
  <c r="I29" i="14"/>
  <c r="I30" i="14" s="1"/>
  <c r="H6" i="13" s="1"/>
  <c r="H29" i="14"/>
  <c r="H30" i="14" s="1"/>
  <c r="H5" i="13" s="1"/>
  <c r="G29" i="14"/>
  <c r="G30" i="14" s="1"/>
  <c r="H18" i="13" s="1"/>
  <c r="F29" i="14"/>
  <c r="F30" i="14" s="1"/>
  <c r="H8" i="13" s="1"/>
  <c r="E29" i="14"/>
  <c r="E30" i="14" s="1"/>
  <c r="D29" i="14"/>
  <c r="D30" i="14" s="1"/>
  <c r="H16" i="13" l="1"/>
  <c r="H15" i="13"/>
  <c r="H14" i="13"/>
  <c r="H17" i="13"/>
  <c r="H13" i="13"/>
  <c r="H12" i="13"/>
  <c r="H10" i="13"/>
  <c r="H9" i="13"/>
  <c r="H20" i="13"/>
  <c r="H7" i="13"/>
  <c r="H19" i="13"/>
  <c r="H21" i="13"/>
  <c r="H11" i="13"/>
  <c r="D24" i="12"/>
  <c r="D23" i="12"/>
  <c r="G32" i="12"/>
  <c r="G31" i="12"/>
  <c r="G30" i="12"/>
  <c r="K8" i="4" l="1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7" i="4"/>
  <c r="Q22" i="5" l="1"/>
  <c r="Q9" i="4"/>
  <c r="X9" i="4" s="1"/>
  <c r="Q17" i="4"/>
  <c r="X17" i="4" s="1"/>
  <c r="Q18" i="4"/>
  <c r="X18" i="4" s="1"/>
  <c r="Q21" i="4"/>
  <c r="X21" i="4" s="1"/>
  <c r="Q23" i="4"/>
  <c r="Q11" i="4" l="1"/>
  <c r="X11" i="4" s="1"/>
  <c r="X23" i="4"/>
  <c r="Q10" i="4"/>
  <c r="X10" i="4" s="1"/>
  <c r="Q8" i="4"/>
  <c r="Q16" i="4"/>
  <c r="X16" i="4" s="1"/>
  <c r="Q22" i="4"/>
  <c r="X22" i="4" s="1"/>
  <c r="Q20" i="4"/>
  <c r="X20" i="4" s="1"/>
  <c r="Q19" i="4"/>
  <c r="B13" i="15"/>
  <c r="C13" i="15" s="1"/>
  <c r="B18" i="2"/>
  <c r="B16" i="2"/>
  <c r="B11" i="15"/>
  <c r="C11" i="15" s="1"/>
  <c r="B25" i="2"/>
  <c r="B20" i="15"/>
  <c r="C20" i="15" s="1"/>
  <c r="B13" i="2"/>
  <c r="B8" i="15"/>
  <c r="C8" i="15" s="1"/>
  <c r="B26" i="2"/>
  <c r="B21" i="15"/>
  <c r="C21" i="15" s="1"/>
  <c r="B24" i="2"/>
  <c r="B19" i="15"/>
  <c r="C19" i="15" s="1"/>
  <c r="B12" i="2"/>
  <c r="B7" i="15"/>
  <c r="C7" i="15" s="1"/>
  <c r="B17" i="2"/>
  <c r="B12" i="15"/>
  <c r="C12" i="15" s="1"/>
  <c r="B15" i="2"/>
  <c r="B10" i="15"/>
  <c r="C10" i="15" s="1"/>
  <c r="Q15" i="4"/>
  <c r="X15" i="4" s="1"/>
  <c r="B11" i="2"/>
  <c r="B6" i="15"/>
  <c r="C6" i="15" s="1"/>
  <c r="B16" i="15"/>
  <c r="C16" i="15" s="1"/>
  <c r="B21" i="2"/>
  <c r="Q14" i="4"/>
  <c r="X14" i="4" s="1"/>
  <c r="B20" i="2"/>
  <c r="B15" i="15"/>
  <c r="C15" i="15" s="1"/>
  <c r="Q13" i="4"/>
  <c r="X13" i="4" s="1"/>
  <c r="B14" i="2"/>
  <c r="B9" i="15"/>
  <c r="C9" i="15" s="1"/>
  <c r="B18" i="15"/>
  <c r="C18" i="15" s="1"/>
  <c r="B23" i="2"/>
  <c r="B22" i="2"/>
  <c r="B17" i="15"/>
  <c r="C17" i="15" s="1"/>
  <c r="B19" i="2"/>
  <c r="B14" i="15"/>
  <c r="C14" i="15" s="1"/>
  <c r="Q12" i="4"/>
  <c r="AI23" i="4"/>
  <c r="C23" i="4"/>
  <c r="D23" i="4"/>
  <c r="E23" i="4"/>
  <c r="F23" i="4"/>
  <c r="B6" i="2"/>
  <c r="B2" i="15"/>
  <c r="B2" i="13"/>
  <c r="B2" i="3"/>
  <c r="B2" i="2"/>
  <c r="X8" i="4" l="1"/>
  <c r="X12" i="4"/>
  <c r="X19" i="4"/>
  <c r="G23" i="4"/>
  <c r="H23" i="4" s="1"/>
  <c r="C36" i="5"/>
  <c r="AI2" i="4"/>
  <c r="B5" i="15"/>
  <c r="C5" i="15" s="1"/>
  <c r="B10" i="2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7" i="4"/>
  <c r="F8" i="4"/>
  <c r="F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7" i="4"/>
  <c r="E8" i="4"/>
  <c r="E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7" i="4"/>
  <c r="D8" i="4"/>
  <c r="D9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7" i="4"/>
  <c r="I31" i="12"/>
  <c r="I18" i="12"/>
  <c r="I17" i="12"/>
  <c r="I16" i="12"/>
  <c r="I15" i="12"/>
  <c r="I14" i="12"/>
  <c r="C4" i="5"/>
  <c r="B2" i="5"/>
  <c r="AI7" i="4"/>
  <c r="Q7" i="4"/>
  <c r="AS4" i="4"/>
  <c r="Q2" i="4"/>
  <c r="B2" i="4"/>
  <c r="E8" i="3"/>
  <c r="D8" i="3"/>
  <c r="C8" i="3"/>
  <c r="E7" i="3"/>
  <c r="D7" i="3"/>
  <c r="C7" i="3"/>
  <c r="B27" i="2"/>
  <c r="B8" i="2"/>
  <c r="X7" i="4" l="1"/>
  <c r="L23" i="4"/>
  <c r="T23" i="4" s="1"/>
  <c r="R23" i="4"/>
  <c r="M23" i="4"/>
  <c r="U23" i="4" s="1"/>
  <c r="I23" i="4"/>
  <c r="S23" i="4" s="1"/>
  <c r="C13" i="3"/>
  <c r="AJ23" i="4"/>
  <c r="AJ19" i="4"/>
  <c r="AJ21" i="4"/>
  <c r="AJ15" i="4"/>
  <c r="I32" i="12"/>
  <c r="C12" i="3"/>
  <c r="I10" i="15"/>
  <c r="H10" i="15"/>
  <c r="J10" i="15" s="1"/>
  <c r="G18" i="4"/>
  <c r="H18" i="4" s="1"/>
  <c r="R18" i="4" s="1"/>
  <c r="G22" i="4"/>
  <c r="H22" i="4" s="1"/>
  <c r="R22" i="4" s="1"/>
  <c r="G17" i="4"/>
  <c r="H17" i="4" s="1"/>
  <c r="R17" i="4" s="1"/>
  <c r="G20" i="4"/>
  <c r="H20" i="4" s="1"/>
  <c r="R20" i="4" s="1"/>
  <c r="G19" i="4"/>
  <c r="H19" i="4" s="1"/>
  <c r="R19" i="4" s="1"/>
  <c r="G21" i="4"/>
  <c r="H21" i="4" s="1"/>
  <c r="R21" i="4" s="1"/>
  <c r="E24" i="4"/>
  <c r="F24" i="4"/>
  <c r="D24" i="4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24" i="4"/>
  <c r="C5" i="2" s="1"/>
  <c r="G14" i="4"/>
  <c r="H14" i="4" s="1"/>
  <c r="R14" i="4" s="1"/>
  <c r="G13" i="4"/>
  <c r="H13" i="4" s="1"/>
  <c r="R13" i="4" s="1"/>
  <c r="J24" i="4"/>
  <c r="G10" i="4"/>
  <c r="H10" i="4" s="1"/>
  <c r="R10" i="4" s="1"/>
  <c r="G8" i="4"/>
  <c r="H8" i="4" s="1"/>
  <c r="R8" i="4" s="1"/>
  <c r="K24" i="4"/>
  <c r="G9" i="4"/>
  <c r="H9" i="4" s="1"/>
  <c r="R9" i="4" s="1"/>
  <c r="D11" i="12"/>
  <c r="E26" i="5" s="1"/>
  <c r="AJ14" i="4"/>
  <c r="AJ12" i="4"/>
  <c r="AJ20" i="4"/>
  <c r="I30" i="12"/>
  <c r="AJ22" i="4" l="1"/>
  <c r="D27" i="12"/>
  <c r="E27" i="5" s="1"/>
  <c r="AJ16" i="4"/>
  <c r="AJ13" i="4"/>
  <c r="AJ8" i="4"/>
  <c r="AJ10" i="4"/>
  <c r="AJ18" i="4"/>
  <c r="AJ17" i="4"/>
  <c r="N23" i="4"/>
  <c r="O23" i="4" s="1"/>
  <c r="M8" i="4"/>
  <c r="U8" i="4" s="1"/>
  <c r="I10" i="4"/>
  <c r="S10" i="4" s="1"/>
  <c r="I13" i="4"/>
  <c r="S13" i="4" s="1"/>
  <c r="L14" i="4"/>
  <c r="T14" i="4" s="1"/>
  <c r="I18" i="4"/>
  <c r="S18" i="4" s="1"/>
  <c r="AJ7" i="4"/>
  <c r="AJ9" i="4"/>
  <c r="AJ11" i="4"/>
  <c r="L21" i="4"/>
  <c r="T21" i="4" s="1"/>
  <c r="L20" i="4"/>
  <c r="T20" i="4" s="1"/>
  <c r="L22" i="4"/>
  <c r="T22" i="4" s="1"/>
  <c r="L18" i="4"/>
  <c r="T18" i="4" s="1"/>
  <c r="M18" i="4"/>
  <c r="U18" i="4" s="1"/>
  <c r="L19" i="4"/>
  <c r="T19" i="4" s="1"/>
  <c r="M22" i="4"/>
  <c r="U22" i="4" s="1"/>
  <c r="I22" i="4"/>
  <c r="S22" i="4" s="1"/>
  <c r="I17" i="4"/>
  <c r="S17" i="4" s="1"/>
  <c r="L17" i="4"/>
  <c r="T17" i="4" s="1"/>
  <c r="M17" i="4"/>
  <c r="U17" i="4" s="1"/>
  <c r="I20" i="4"/>
  <c r="S20" i="4" s="1"/>
  <c r="I21" i="4"/>
  <c r="S21" i="4" s="1"/>
  <c r="M21" i="4"/>
  <c r="U21" i="4" s="1"/>
  <c r="I19" i="4"/>
  <c r="S19" i="4" s="1"/>
  <c r="M20" i="4"/>
  <c r="U20" i="4" s="1"/>
  <c r="M19" i="4"/>
  <c r="U19" i="4" s="1"/>
  <c r="H7" i="4"/>
  <c r="G24" i="4"/>
  <c r="I14" i="4"/>
  <c r="S14" i="4" s="1"/>
  <c r="L11" i="4"/>
  <c r="T11" i="4" s="1"/>
  <c r="M11" i="4"/>
  <c r="U11" i="4" s="1"/>
  <c r="M14" i="4"/>
  <c r="U14" i="4" s="1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6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24" i="4"/>
  <c r="I9" i="4"/>
  <c r="S9" i="4" s="1"/>
  <c r="M9" i="4"/>
  <c r="U9" i="4" s="1"/>
  <c r="L9" i="4"/>
  <c r="T9" i="4" s="1"/>
  <c r="W24" i="4"/>
  <c r="C31" i="5"/>
  <c r="Y23" i="4" l="1"/>
  <c r="H24" i="4"/>
  <c r="R7" i="4"/>
  <c r="R24" i="4" s="1"/>
  <c r="N18" i="4"/>
  <c r="O18" i="4" s="1"/>
  <c r="I7" i="4"/>
  <c r="S7" i="4" s="1"/>
  <c r="N22" i="4"/>
  <c r="O22" i="4" s="1"/>
  <c r="N17" i="4"/>
  <c r="O17" i="4" s="1"/>
  <c r="N19" i="4"/>
  <c r="O19" i="4" s="1"/>
  <c r="M7" i="4"/>
  <c r="L7" i="4"/>
  <c r="T7" i="4" s="1"/>
  <c r="N20" i="4"/>
  <c r="O20" i="4" s="1"/>
  <c r="N21" i="4"/>
  <c r="O21" i="4" s="1"/>
  <c r="N14" i="4"/>
  <c r="O14" i="4" s="1"/>
  <c r="N11" i="4"/>
  <c r="O11" i="4" s="1"/>
  <c r="N13" i="4"/>
  <c r="O13" i="4" s="1"/>
  <c r="N12" i="4"/>
  <c r="O12" i="4" s="1"/>
  <c r="N15" i="4"/>
  <c r="O15" i="4" s="1"/>
  <c r="N16" i="4"/>
  <c r="O16" i="4" s="1"/>
  <c r="N10" i="4"/>
  <c r="O10" i="4" s="1"/>
  <c r="N8" i="4"/>
  <c r="O8" i="4" s="1"/>
  <c r="N9" i="4"/>
  <c r="O9" i="4" s="1"/>
  <c r="Y8" i="4" l="1"/>
  <c r="M24" i="4"/>
  <c r="U7" i="4"/>
  <c r="U24" i="4" s="1"/>
  <c r="I24" i="4"/>
  <c r="Y18" i="4"/>
  <c r="Y14" i="4"/>
  <c r="Y9" i="4"/>
  <c r="Y10" i="4"/>
  <c r="Y16" i="4"/>
  <c r="Y21" i="4"/>
  <c r="Y20" i="4"/>
  <c r="Y15" i="4"/>
  <c r="Y12" i="4"/>
  <c r="Y13" i="4"/>
  <c r="Y19" i="4"/>
  <c r="Y17" i="4"/>
  <c r="Y11" i="4"/>
  <c r="Y22" i="4"/>
  <c r="N7" i="4"/>
  <c r="O7" i="4" s="1"/>
  <c r="T24" i="4"/>
  <c r="L24" i="4"/>
  <c r="V24" i="4"/>
  <c r="S24" i="4"/>
  <c r="Y7" i="4" l="1"/>
  <c r="Y24" i="4" s="1"/>
  <c r="O24" i="4"/>
  <c r="K10" i="15"/>
  <c r="N24" i="4"/>
  <c r="AC5" i="4" s="1"/>
  <c r="Z23" i="4" l="1"/>
  <c r="AD23" i="4" s="1"/>
  <c r="AA23" i="4"/>
  <c r="AE23" i="4" s="1"/>
  <c r="AL23" i="4" s="1"/>
  <c r="AC23" i="4"/>
  <c r="AG23" i="4" s="1"/>
  <c r="AN23" i="4" s="1"/>
  <c r="AB23" i="4"/>
  <c r="AF23" i="4" s="1"/>
  <c r="AM23" i="4" s="1"/>
  <c r="C32" i="5"/>
  <c r="C33" i="5" s="1"/>
  <c r="AK23" i="4" l="1"/>
  <c r="D21" i="15"/>
  <c r="AA8" i="4"/>
  <c r="AE8" i="4" s="1"/>
  <c r="AL8" i="4" s="1"/>
  <c r="AA12" i="4"/>
  <c r="AE12" i="4" s="1"/>
  <c r="AL12" i="4" s="1"/>
  <c r="AA16" i="4"/>
  <c r="AE16" i="4" s="1"/>
  <c r="AL16" i="4" s="1"/>
  <c r="AA20" i="4"/>
  <c r="AE20" i="4" s="1"/>
  <c r="AL20" i="4" s="1"/>
  <c r="AC7" i="4"/>
  <c r="AG7" i="4" s="1"/>
  <c r="Z17" i="4"/>
  <c r="AD1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20" i="4"/>
  <c r="AF20" i="4" s="1"/>
  <c r="AM20" i="4" s="1"/>
  <c r="AB7" i="4"/>
  <c r="Z18" i="4"/>
  <c r="AD18" i="4" s="1"/>
  <c r="AC8" i="4"/>
  <c r="AG8" i="4" s="1"/>
  <c r="AN8" i="4" s="1"/>
  <c r="AC12" i="4"/>
  <c r="AG12" i="4" s="1"/>
  <c r="AN12" i="4" s="1"/>
  <c r="AC16" i="4"/>
  <c r="AG16" i="4" s="1"/>
  <c r="AN16" i="4" s="1"/>
  <c r="AC20" i="4"/>
  <c r="AG20" i="4" s="1"/>
  <c r="AN20" i="4" s="1"/>
  <c r="AA7" i="4"/>
  <c r="AE7" i="4" s="1"/>
  <c r="Z19" i="4"/>
  <c r="AD19" i="4" s="1"/>
  <c r="AC19" i="4"/>
  <c r="AG19" i="4" s="1"/>
  <c r="AN19" i="4" s="1"/>
  <c r="AA9" i="4"/>
  <c r="AE9" i="4" s="1"/>
  <c r="AL9" i="4" s="1"/>
  <c r="AA13" i="4"/>
  <c r="AE13" i="4" s="1"/>
  <c r="AL13" i="4" s="1"/>
  <c r="AA17" i="4"/>
  <c r="AE17" i="4" s="1"/>
  <c r="AL17" i="4" s="1"/>
  <c r="AA21" i="4"/>
  <c r="AE21" i="4" s="1"/>
  <c r="AL21" i="4" s="1"/>
  <c r="Z8" i="4"/>
  <c r="AD8" i="4" s="1"/>
  <c r="Z20" i="4"/>
  <c r="AD20" i="4" s="1"/>
  <c r="AB9" i="4"/>
  <c r="AF9" i="4" s="1"/>
  <c r="AM9" i="4" s="1"/>
  <c r="AB13" i="4"/>
  <c r="AF13" i="4" s="1"/>
  <c r="AM13" i="4" s="1"/>
  <c r="AB17" i="4"/>
  <c r="AF17" i="4" s="1"/>
  <c r="AM17" i="4" s="1"/>
  <c r="AB21" i="4"/>
  <c r="AF21" i="4" s="1"/>
  <c r="AM21" i="4" s="1"/>
  <c r="Z9" i="4"/>
  <c r="AD9" i="4" s="1"/>
  <c r="Z21" i="4"/>
  <c r="AD21" i="4" s="1"/>
  <c r="AC9" i="4"/>
  <c r="AG9" i="4" s="1"/>
  <c r="AN9" i="4" s="1"/>
  <c r="AC13" i="4"/>
  <c r="AG13" i="4" s="1"/>
  <c r="AN13" i="4" s="1"/>
  <c r="AC17" i="4"/>
  <c r="AG17" i="4" s="1"/>
  <c r="AN17" i="4" s="1"/>
  <c r="AC21" i="4"/>
  <c r="AG21" i="4" s="1"/>
  <c r="AN21" i="4" s="1"/>
  <c r="Z10" i="4"/>
  <c r="AD10" i="4" s="1"/>
  <c r="Z22" i="4"/>
  <c r="AD22" i="4" s="1"/>
  <c r="AA10" i="4"/>
  <c r="AE10" i="4" s="1"/>
  <c r="AL10" i="4" s="1"/>
  <c r="AA14" i="4"/>
  <c r="AE14" i="4" s="1"/>
  <c r="AL14" i="4" s="1"/>
  <c r="AA18" i="4"/>
  <c r="AE18" i="4" s="1"/>
  <c r="AL18" i="4" s="1"/>
  <c r="AA22" i="4"/>
  <c r="AE22" i="4" s="1"/>
  <c r="AL22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AB18" i="4"/>
  <c r="AF18" i="4" s="1"/>
  <c r="AM18" i="4" s="1"/>
  <c r="AB22" i="4"/>
  <c r="AF22" i="4" s="1"/>
  <c r="AM22" i="4" s="1"/>
  <c r="Z12" i="4"/>
  <c r="AD12" i="4" s="1"/>
  <c r="Z7" i="4"/>
  <c r="AD7" i="4" s="1"/>
  <c r="AC10" i="4"/>
  <c r="AG10" i="4" s="1"/>
  <c r="AN10" i="4" s="1"/>
  <c r="AC14" i="4"/>
  <c r="AG14" i="4" s="1"/>
  <c r="AN14" i="4" s="1"/>
  <c r="AC18" i="4"/>
  <c r="AG18" i="4" s="1"/>
  <c r="AN18" i="4" s="1"/>
  <c r="AC22" i="4"/>
  <c r="AG22" i="4" s="1"/>
  <c r="AN22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AA19" i="4"/>
  <c r="AE19" i="4" s="1"/>
  <c r="AL19" i="4" s="1"/>
  <c r="Z14" i="4"/>
  <c r="AD14" i="4" s="1"/>
  <c r="AB11" i="4"/>
  <c r="AF11" i="4" s="1"/>
  <c r="AM11" i="4" s="1"/>
  <c r="AB15" i="4"/>
  <c r="AF15" i="4" s="1"/>
  <c r="AM15" i="4" s="1"/>
  <c r="AB19" i="4"/>
  <c r="AF19" i="4" s="1"/>
  <c r="AM19" i="4" s="1"/>
  <c r="Z15" i="4"/>
  <c r="AD15" i="4" s="1"/>
  <c r="D13" i="15" l="1"/>
  <c r="AK15" i="4"/>
  <c r="AK22" i="4"/>
  <c r="D20" i="15"/>
  <c r="AK12" i="4"/>
  <c r="D10" i="15"/>
  <c r="AK10" i="4"/>
  <c r="D8" i="15"/>
  <c r="AK8" i="4"/>
  <c r="D6" i="15"/>
  <c r="D16" i="15"/>
  <c r="AK18" i="4"/>
  <c r="AK14" i="4"/>
  <c r="D12" i="15"/>
  <c r="AK17" i="4"/>
  <c r="D15" i="15"/>
  <c r="D18" i="15"/>
  <c r="AK20" i="4"/>
  <c r="AK21" i="4"/>
  <c r="D19" i="15"/>
  <c r="AK13" i="4"/>
  <c r="D11" i="15"/>
  <c r="AK11" i="4"/>
  <c r="D9" i="15"/>
  <c r="AK9" i="4"/>
  <c r="D7" i="15"/>
  <c r="AK19" i="4"/>
  <c r="D17" i="15"/>
  <c r="AK16" i="4"/>
  <c r="D14" i="15"/>
  <c r="AO23" i="4"/>
  <c r="E21" i="15"/>
  <c r="I9" i="15"/>
  <c r="H9" i="15"/>
  <c r="J9" i="15" s="1"/>
  <c r="AB24" i="4"/>
  <c r="AF7" i="4"/>
  <c r="AF24" i="4" s="1"/>
  <c r="AA24" i="4"/>
  <c r="AC24" i="4"/>
  <c r="Z24" i="4"/>
  <c r="AG24" i="4"/>
  <c r="AN7" i="4"/>
  <c r="AN24" i="4" s="1"/>
  <c r="AW7" i="4" s="1"/>
  <c r="AW8" i="4" s="1"/>
  <c r="AD24" i="4"/>
  <c r="AK7" i="4"/>
  <c r="AE24" i="4"/>
  <c r="AL7" i="4"/>
  <c r="AL24" i="4" s="1"/>
  <c r="AU7" i="4" s="1"/>
  <c r="AU8" i="4" s="1"/>
  <c r="H8" i="15" l="1"/>
  <c r="J8" i="15" s="1"/>
  <c r="AP23" i="4"/>
  <c r="AQ23" i="4" s="1"/>
  <c r="E19" i="15"/>
  <c r="AO21" i="4"/>
  <c r="C24" i="2" s="1"/>
  <c r="AO16" i="4"/>
  <c r="E14" i="15"/>
  <c r="AO20" i="4"/>
  <c r="C23" i="2" s="1"/>
  <c r="E18" i="15"/>
  <c r="AO19" i="4"/>
  <c r="C22" i="2" s="1"/>
  <c r="E17" i="15"/>
  <c r="E8" i="15"/>
  <c r="AO10" i="4"/>
  <c r="E7" i="15"/>
  <c r="AO9" i="4"/>
  <c r="AO17" i="4"/>
  <c r="C20" i="2" s="1"/>
  <c r="E15" i="15"/>
  <c r="E10" i="15"/>
  <c r="AO12" i="4"/>
  <c r="AO8" i="4"/>
  <c r="E6" i="15"/>
  <c r="AO18" i="4"/>
  <c r="C21" i="2" s="1"/>
  <c r="E16" i="15"/>
  <c r="C26" i="2"/>
  <c r="E9" i="15"/>
  <c r="AO11" i="4"/>
  <c r="E20" i="15"/>
  <c r="AO22" i="4"/>
  <c r="C25" i="2" s="1"/>
  <c r="AO15" i="4"/>
  <c r="E13" i="15"/>
  <c r="AO13" i="4"/>
  <c r="E11" i="15"/>
  <c r="AO14" i="4"/>
  <c r="E12" i="15"/>
  <c r="H5" i="15"/>
  <c r="D5" i="15"/>
  <c r="AM7" i="4"/>
  <c r="AM24" i="4" s="1"/>
  <c r="AV7" i="4" s="1"/>
  <c r="AV8" i="4" s="1"/>
  <c r="AK24" i="4"/>
  <c r="I8" i="15" l="1"/>
  <c r="K8" i="15" s="1"/>
  <c r="H7" i="15"/>
  <c r="J7" i="15" s="1"/>
  <c r="H6" i="15"/>
  <c r="J6" i="15" s="1"/>
  <c r="I5" i="15"/>
  <c r="AP18" i="4"/>
  <c r="AQ18" i="4" s="1"/>
  <c r="AP15" i="4"/>
  <c r="AQ15" i="4" s="1"/>
  <c r="AP12" i="4"/>
  <c r="AQ12" i="4" s="1"/>
  <c r="AP13" i="4"/>
  <c r="AQ13" i="4" s="1"/>
  <c r="AP22" i="4"/>
  <c r="AQ22" i="4" s="1"/>
  <c r="AP20" i="4"/>
  <c r="AQ20" i="4" s="1"/>
  <c r="AP14" i="4"/>
  <c r="AQ14" i="4" s="1"/>
  <c r="AP19" i="4"/>
  <c r="AQ19" i="4" s="1"/>
  <c r="AP16" i="4"/>
  <c r="AQ16" i="4" s="1"/>
  <c r="AP17" i="4"/>
  <c r="AQ17" i="4" s="1"/>
  <c r="AP9" i="4"/>
  <c r="AQ9" i="4" s="1"/>
  <c r="AP21" i="4"/>
  <c r="AQ21" i="4" s="1"/>
  <c r="AP8" i="4"/>
  <c r="AQ8" i="4" s="1"/>
  <c r="AP11" i="4"/>
  <c r="AQ11" i="4" s="1"/>
  <c r="AP10" i="4"/>
  <c r="AQ10" i="4" s="1"/>
  <c r="C12" i="2"/>
  <c r="D12" i="2" s="1"/>
  <c r="E12" i="2" s="1"/>
  <c r="C13" i="2"/>
  <c r="D13" i="2" s="1"/>
  <c r="E13" i="2" s="1"/>
  <c r="C18" i="2"/>
  <c r="F18" i="2" s="1"/>
  <c r="C17" i="2"/>
  <c r="D17" i="2" s="1"/>
  <c r="E17" i="2" s="1"/>
  <c r="C14" i="2"/>
  <c r="F14" i="2" s="1"/>
  <c r="C16" i="2"/>
  <c r="F16" i="2" s="1"/>
  <c r="C19" i="2"/>
  <c r="F19" i="2" s="1"/>
  <c r="C15" i="2"/>
  <c r="D15" i="2" s="1"/>
  <c r="E15" i="2" s="1"/>
  <c r="C11" i="2"/>
  <c r="D11" i="2" s="1"/>
  <c r="E11" i="2" s="1"/>
  <c r="H11" i="15"/>
  <c r="J11" i="15" s="1"/>
  <c r="D22" i="15"/>
  <c r="K9" i="15"/>
  <c r="E5" i="15"/>
  <c r="J5" i="15"/>
  <c r="D21" i="2"/>
  <c r="E21" i="2" s="1"/>
  <c r="F21" i="2"/>
  <c r="D23" i="2"/>
  <c r="E23" i="2" s="1"/>
  <c r="F23" i="2"/>
  <c r="D25" i="2"/>
  <c r="E25" i="2" s="1"/>
  <c r="F25" i="2"/>
  <c r="D24" i="2"/>
  <c r="E24" i="2" s="1"/>
  <c r="F24" i="2"/>
  <c r="AO7" i="4"/>
  <c r="AP7" i="4" s="1"/>
  <c r="AT7" i="4"/>
  <c r="AT8" i="4" s="1"/>
  <c r="AT10" i="4" s="1"/>
  <c r="I7" i="15" l="1"/>
  <c r="I6" i="15"/>
  <c r="K6" i="15" s="1"/>
  <c r="F12" i="2"/>
  <c r="G12" i="2" s="1"/>
  <c r="H12" i="2" s="1"/>
  <c r="F15" i="2"/>
  <c r="G15" i="2" s="1"/>
  <c r="H15" i="2" s="1"/>
  <c r="D18" i="2"/>
  <c r="E18" i="2" s="1"/>
  <c r="F13" i="2"/>
  <c r="G13" i="2" s="1"/>
  <c r="H13" i="2" s="1"/>
  <c r="D14" i="2"/>
  <c r="E14" i="2" s="1"/>
  <c r="F11" i="2"/>
  <c r="G11" i="2" s="1"/>
  <c r="H11" i="2" s="1"/>
  <c r="D19" i="2"/>
  <c r="E19" i="2" s="1"/>
  <c r="G16" i="2"/>
  <c r="H16" i="2" s="1"/>
  <c r="G19" i="2"/>
  <c r="H19" i="2" s="1"/>
  <c r="G14" i="2"/>
  <c r="H14" i="2" s="1"/>
  <c r="G18" i="2"/>
  <c r="H18" i="2" s="1"/>
  <c r="D16" i="2"/>
  <c r="E16" i="2" s="1"/>
  <c r="F17" i="2"/>
  <c r="H13" i="15"/>
  <c r="L5" i="15" s="1"/>
  <c r="I11" i="15"/>
  <c r="K11" i="15" s="1"/>
  <c r="E22" i="15"/>
  <c r="J13" i="15"/>
  <c r="K5" i="15"/>
  <c r="G24" i="2"/>
  <c r="H24" i="2" s="1"/>
  <c r="G21" i="2"/>
  <c r="H21" i="2" s="1"/>
  <c r="G25" i="2"/>
  <c r="H25" i="2" s="1"/>
  <c r="G23" i="2"/>
  <c r="H23" i="2" s="1"/>
  <c r="D26" i="2"/>
  <c r="E26" i="2" s="1"/>
  <c r="F26" i="2"/>
  <c r="F20" i="2"/>
  <c r="D20" i="2"/>
  <c r="E20" i="2" s="1"/>
  <c r="D22" i="2"/>
  <c r="E22" i="2" s="1"/>
  <c r="F22" i="2"/>
  <c r="AP24" i="4"/>
  <c r="AO24" i="4"/>
  <c r="C10" i="2"/>
  <c r="C27" i="2" s="1"/>
  <c r="AQ7" i="4"/>
  <c r="AQ24" i="4" s="1"/>
  <c r="AT11" i="4"/>
  <c r="D5" i="2"/>
  <c r="AT12" i="4"/>
  <c r="G17" i="2" l="1"/>
  <c r="H17" i="2" s="1"/>
  <c r="I13" i="15"/>
  <c r="M11" i="15" s="1"/>
  <c r="L9" i="15"/>
  <c r="L10" i="15"/>
  <c r="L7" i="15"/>
  <c r="L11" i="15"/>
  <c r="L6" i="15"/>
  <c r="L8" i="15"/>
  <c r="K7" i="15"/>
  <c r="K13" i="15" s="1"/>
  <c r="G22" i="2"/>
  <c r="H22" i="2" s="1"/>
  <c r="G26" i="2"/>
  <c r="H26" i="2" s="1"/>
  <c r="G20" i="2"/>
  <c r="H20" i="2" s="1"/>
  <c r="D10" i="2"/>
  <c r="F10" i="2"/>
  <c r="E5" i="2"/>
  <c r="E6" i="2" s="1"/>
  <c r="I20" i="2" s="1"/>
  <c r="D6" i="2"/>
  <c r="AT13" i="4"/>
  <c r="AT15" i="4" s="1"/>
  <c r="F5" i="2"/>
  <c r="H5" i="2" s="1"/>
  <c r="AT14" i="4"/>
  <c r="F27" i="2" l="1"/>
  <c r="D27" i="2"/>
  <c r="I17" i="2"/>
  <c r="I22" i="2"/>
  <c r="I16" i="2"/>
  <c r="I11" i="2"/>
  <c r="I23" i="2"/>
  <c r="I19" i="2"/>
  <c r="I25" i="2"/>
  <c r="I24" i="2"/>
  <c r="I15" i="2"/>
  <c r="I14" i="2"/>
  <c r="I12" i="2"/>
  <c r="I18" i="2"/>
  <c r="I21" i="2"/>
  <c r="I13" i="2"/>
  <c r="I26" i="2"/>
  <c r="H6" i="2"/>
  <c r="I5" i="2"/>
  <c r="I6" i="2" s="1"/>
  <c r="M7" i="15"/>
  <c r="L13" i="15"/>
  <c r="M9" i="15"/>
  <c r="M6" i="15"/>
  <c r="M10" i="15"/>
  <c r="M8" i="15"/>
  <c r="M5" i="15"/>
  <c r="E10" i="2"/>
  <c r="E27" i="2" s="1"/>
  <c r="G10" i="2"/>
  <c r="I10" i="2"/>
  <c r="G5" i="2"/>
  <c r="G6" i="2" s="1"/>
  <c r="F6" i="2"/>
  <c r="G27" i="2" l="1"/>
  <c r="I27" i="2"/>
  <c r="F11" i="1"/>
  <c r="G11" i="1" s="1"/>
  <c r="M13" i="15"/>
  <c r="H10" i="2"/>
  <c r="H27" i="2" s="1"/>
</calcChain>
</file>

<file path=xl/sharedStrings.xml><?xml version="1.0" encoding="utf-8"?>
<sst xmlns="http://schemas.openxmlformats.org/spreadsheetml/2006/main" count="631" uniqueCount="316">
  <si>
    <t>PLANILHA DETALHADA DE FORMAÇÃO DE PREÇO</t>
  </si>
  <si>
    <t>POLO XI</t>
  </si>
  <si>
    <t>DESONERADA</t>
  </si>
  <si>
    <t>ITEM</t>
  </si>
  <si>
    <t>DESCRIÇÃO DO SERVIÇO</t>
  </si>
  <si>
    <t>UN.</t>
  </si>
  <si>
    <t>QTE.</t>
  </si>
  <si>
    <t>PREÇO UNITÁRIO (R$)</t>
  </si>
  <si>
    <t>PREÇO ANUAL (R$)</t>
  </si>
  <si>
    <t>Serviço de manutenção predial preventiva e corretiva por demanda, com fornecimento de materiais, peças e componentes, nos imóveis relacionados no Polo Regional XI.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</si>
  <si>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</si>
  <si>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</si>
  <si>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</si>
  <si>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</si>
  <si>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</si>
  <si>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</si>
  <si>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</si>
  <si>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</si>
  <si>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</si>
  <si>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SANTA MARIA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</si>
  <si>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</si>
  <si>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</si>
  <si>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</si>
  <si>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</si>
  <si>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</si>
  <si>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</si>
  <si>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</si>
  <si>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</si>
  <si>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</si>
  <si>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</si>
  <si>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</si>
  <si>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</si>
  <si>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</si>
  <si>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</si>
  <si>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</si>
  <si>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</si>
  <si>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</si>
  <si>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</si>
  <si>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</si>
  <si>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</si>
  <si>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</si>
  <si>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</si>
  <si>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</si>
  <si>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</si>
  <si>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</si>
  <si>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</si>
  <si>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</si>
  <si>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</si>
  <si>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</si>
  <si>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</si>
  <si>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</si>
  <si>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</si>
  <si>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</si>
  <si>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</si>
  <si>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</si>
  <si>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</si>
  <si>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</si>
  <si>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</si>
  <si>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</si>
  <si>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</si>
  <si>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</si>
  <si>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</si>
  <si>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</si>
  <si>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</si>
  <si>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</si>
  <si>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</si>
  <si>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</si>
  <si>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</si>
  <si>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</si>
  <si>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</si>
  <si>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</si>
  <si>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</si>
  <si>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</si>
  <si>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</si>
  <si>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</si>
  <si>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</si>
  <si>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</si>
  <si>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APS BAGÉ</t>
  </si>
  <si>
    <t>Custo por tipo de rotina</t>
  </si>
  <si>
    <t>APS CANGUÇU</t>
  </si>
  <si>
    <t>Custo Anual por tipo de rotina</t>
  </si>
  <si>
    <t>APS PIRATINI</t>
  </si>
  <si>
    <t>APS CAÇAPAVA DO SUL</t>
  </si>
  <si>
    <t>APS CACEQUI</t>
  </si>
  <si>
    <t>Custo Anual Preventiva</t>
  </si>
  <si>
    <t>APS CACHOEIRA DO SUL</t>
  </si>
  <si>
    <t>APS ENCRUZILHADA DO SUL</t>
  </si>
  <si>
    <t>Custo Anual Corretiva</t>
  </si>
  <si>
    <t>APS RIO PARDO</t>
  </si>
  <si>
    <t>Custo Médio Mensal Manutenção</t>
  </si>
  <si>
    <t>APS Santiago</t>
  </si>
  <si>
    <t>Custo Anual Manutenção</t>
  </si>
  <si>
    <t>GEX/APS SANTA MARIA</t>
  </si>
  <si>
    <t>APS ALEGRETE</t>
  </si>
  <si>
    <t>APS DOM PEDRITO</t>
  </si>
  <si>
    <t>APS QUARAÍ</t>
  </si>
  <si>
    <t>APS ROSÁRIO DO SUL</t>
  </si>
  <si>
    <t>APS SANTANA DO LIVRAMENTO</t>
  </si>
  <si>
    <t>APS SÃO GABRIEL</t>
  </si>
  <si>
    <t>GEX/APS URUGUAIANA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</si>
  <si>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</si>
  <si>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</si>
  <si>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</si>
  <si>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</si>
  <si>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</si>
  <si>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</si>
  <si>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</si>
  <si>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</si>
  <si>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</si>
  <si>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</si>
  <si>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</si>
  <si>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</si>
  <si>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</si>
  <si>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</si>
  <si>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</si>
  <si>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</si>
  <si>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APS SANTIAGO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</si>
  <si>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</si>
  <si>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</si>
  <si>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</si>
  <si>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</si>
  <si>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</si>
  <si>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</si>
  <si>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</si>
  <si>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</si>
  <si>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</si>
  <si>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</si>
  <si>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</si>
  <si>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</si>
  <si>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</si>
  <si>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Preços pesquisados em 20/10/2023.</t>
  </si>
  <si>
    <t>COMPOSIÇÃO CUSTO DO VEÍCULO</t>
  </si>
  <si>
    <t>Composição ALTERADA SINAPI – 92145 (SEM MOTORISTA)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</si>
  <si>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</si>
  <si>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</si>
  <si>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</si>
  <si>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</si>
  <si>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</si>
  <si>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Rio Grande do Sul</t>
  </si>
  <si>
    <t>Tipo</t>
  </si>
  <si>
    <t>CHOR - CUSTOS HORÁRIOS DE MÁQUINAS E EQUIPAMENTOS</t>
  </si>
  <si>
    <t>Valor Não Desonerado</t>
  </si>
  <si>
    <t>codigo</t>
  </si>
  <si>
    <t>Coeficiente</t>
  </si>
  <si>
    <t>C</t>
  </si>
  <si>
    <t>92140</t>
  </si>
  <si>
    <t>CAMINHONETE CABINE SIMPLES COM MOTOR 1.6 FLEX, CÂMBIO MANUAL, POTÊNCIA 101/104 CV, 2 PORTAS - DEPRECIAÇÃO. AF_11/2015</t>
  </si>
  <si>
    <t>H</t>
  </si>
  <si>
    <t>1,0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</si>
  <si>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</si>
  <si>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</si>
  <si>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</si>
  <si>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</si>
  <si>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</si>
  <si>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</si>
  <si>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</si>
  <si>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</si>
  <si>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92146 (SEM MOTORISTA)</t>
  </si>
  <si>
    <t>92146</t>
  </si>
  <si>
    <t>CAMINHONETE CABINE SIMPLES COM MOTOR 1.6 FLEX, CÂMBIO MANUAL, POTÊNCIA 101/104 CV, 2 PORTAS - CHI DIURNO. AF_11/2015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</si>
  <si>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</si>
  <si>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</si>
  <si>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</si>
  <si>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</si>
  <si>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</si>
  <si>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</si>
  <si>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</si>
  <si>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</si>
  <si>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</si>
  <si>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</si>
  <si>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PELOTAS</t>
  </si>
  <si>
    <t>Rua Gomes Carneiro, 1240, Centro</t>
  </si>
  <si>
    <t>NÃO</t>
  </si>
  <si>
    <t>SIM</t>
  </si>
  <si>
    <t>Rua Osvaldo Aranha, 295, Centro</t>
  </si>
  <si>
    <t>Rua Conceição P. de Ávila, S/N, Centro</t>
  </si>
  <si>
    <t>Rua Barão de Caçapava, 633, Centro</t>
  </si>
  <si>
    <t>Rua Sete de Setembro, 276, Centro</t>
  </si>
  <si>
    <t>Rua General Portinho, 1785, Augusta</t>
  </si>
  <si>
    <t>Rua General Osório, 335, Centro</t>
  </si>
  <si>
    <t>Rua Adolfo Pritsch, 504, Centro</t>
  </si>
  <si>
    <t>Rua Francisco Camargo, 128, Centro</t>
  </si>
  <si>
    <t>Rua Venâncio Aires, 2114, Centro</t>
  </si>
  <si>
    <t>URUGUAIANA</t>
  </si>
  <si>
    <t>Rua Bento Gonçalves, 592, Cidade Alta, Centro</t>
  </si>
  <si>
    <t>Rua Moreira César, 1046, Centro</t>
  </si>
  <si>
    <t>Rua Sião, 70</t>
  </si>
  <si>
    <t>Rua Amaro Souto, 1963, Centro</t>
  </si>
  <si>
    <t>Rua Silveira Martins, 464, Centro</t>
  </si>
  <si>
    <t>Praça Camilo Mércio, 77, Centro</t>
  </si>
  <si>
    <t>Rua Tiradentes, 2781, Centro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</si>
  <si>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</si>
  <si>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</si>
  <si>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</si>
  <si>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</si>
  <si>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</si>
  <si>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</si>
  <si>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</si>
  <si>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</si>
  <si>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</si>
  <si>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</si>
  <si>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</si>
  <si>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</si>
  <si>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</si>
  <si>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</si>
  <si>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</si>
  <si>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</si>
  <si>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</si>
  <si>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</si>
  <si>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</si>
  <si>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</si>
  <si>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</si>
  <si>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</si>
  <si>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</si>
  <si>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</si>
  <si>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</si>
  <si>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</si>
  <si>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</si>
  <si>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</si>
  <si>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</si>
  <si>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</si>
  <si>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</si>
  <si>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</si>
  <si>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</si>
  <si>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</si>
  <si>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</si>
  <si>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</si>
  <si>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</si>
  <si>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</si>
  <si>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</si>
  <si>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Oficial de Manutenção Predial</t>
  </si>
  <si>
    <t>Ajudante (ref. SINAPI/88241)</t>
  </si>
  <si>
    <t>10/2023</t>
  </si>
  <si>
    <t>RIO GRANDE DO SUL</t>
  </si>
  <si>
    <t>Categoria</t>
  </si>
  <si>
    <t>Oficial (*)</t>
  </si>
  <si>
    <t>Convenção coletiva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</si>
  <si>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</si>
  <si>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Data base</t>
  </si>
  <si>
    <t>Abrangência</t>
  </si>
  <si>
    <t>Trabalhadores das indústrias da construção civil de Porto Alegre/RS e região</t>
  </si>
  <si>
    <t>Salário base (SB)</t>
  </si>
  <si>
    <t>Encargos Sociais (**) - (ES)
Apêndice 21: Encargos Sociais – Rio Grande do Sul</t>
  </si>
  <si>
    <t>Horista Desonerado</t>
  </si>
  <si>
    <t>Mensalista Desonerado</t>
  </si>
  <si>
    <t>Horista Não Desonerado</t>
  </si>
  <si>
    <t>Mensalista Não Desonerado</t>
  </si>
  <si>
    <t>Cálculo custo do funcionário (***)</t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</si>
  <si>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</si>
  <si>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</si>
  <si>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</si>
  <si>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</si>
  <si>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</si>
  <si>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t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</si>
  <si>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</si>
  <si>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>(****) Fórmula para cálculo do custo do horista, com base no custo do mensalista (Livro Metodologias e Conceitos, página 82)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</si>
  <si>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</si>
  <si>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</si>
  <si>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</si>
  <si>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</si>
  <si>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</si>
  <si>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</si>
  <si>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</si>
  <si>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</si>
  <si>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</si>
  <si>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</si>
  <si>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</si>
  <si>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</si>
  <si>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</si>
  <si>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</si>
  <si>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</si>
  <si>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</si>
  <si>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</si>
  <si>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</si>
  <si>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</si>
  <si>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</si>
  <si>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* Tabela SINAPI Outubro/2023 (Não Desonerado)</t>
  </si>
  <si>
    <t>Subestação?</t>
  </si>
  <si>
    <t>Inclui eletrotécnico no deslocamento?</t>
  </si>
  <si>
    <t>Insumo*</t>
  </si>
  <si>
    <t>2454/AGETOP</t>
  </si>
  <si>
    <t>PERNOITE EM QUARTO SOLTEIRO C/ AR CONDICIONADO OU VENTILADOR</t>
  </si>
  <si>
    <t>UN</t>
  </si>
  <si>
    <t>* Tabela AGETOP CIVIL Agosto/2023.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</si>
  <si>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</si>
  <si>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</si>
  <si>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</si>
  <si>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</si>
  <si>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</si>
  <si>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</si>
  <si>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</si>
  <si>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</si>
  <si>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</si>
  <si>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</si>
  <si>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</si>
  <si>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</si>
  <si>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</si>
  <si>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</si>
  <si>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Valor Unitário Desonerado</t>
  </si>
  <si>
    <t>Valor Desonerado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</si>
  <si>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</si>
  <si>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</si>
  <si>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</si>
  <si>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</si>
  <si>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</si>
  <si>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</si>
  <si>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</si>
  <si>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</si>
  <si>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</si>
  <si>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</si>
  <si>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</si>
  <si>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</si>
  <si>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</si>
  <si>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</si>
  <si>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VALOR TOTAL DO ITEM 11: R$ 1.451.800,20 (Um milhão, quatrocentos e cinquenta e um mil e oitocentos reais e vinte centavos).</t>
  </si>
  <si>
    <t>ANEXO I – B11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</si>
</sst>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&quot;R$&quot;\ #,##0.00"/>
    <numFmt numFmtId="172" formatCode="d/m/yyyy"/>
  </numFmts>
  <fonts count="27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vertAlign val="subscript"/>
      <sz val="10"/>
      <name val="Arial"/>
      <family val="2"/>
      <charset val="1"/>
    </font>
    <font>
      <b/>
      <sz val="10"/>
      <color rgb="FF000000"/>
      <name val="Arial"/>
      <family val="1"/>
      <charset val="1"/>
    </font>
  </fonts>
  <fills count="22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6" tint="0.39997558519241921"/>
        <bgColor rgb="FF003300"/>
      </patternFill>
    </fill>
    <fill>
      <patternFill patternType="solid">
        <fgColor theme="6" tint="0.79998168889431442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6" borderId="0"/>
  </cellStyleXfs>
  <cellXfs count="323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4" applyFont="1" applyFill="1" applyBorder="1" applyAlignment="1">
      <alignment vertical="center" wrapText="1"/>
    </xf>
    <xf numFmtId="10" fontId="9" fillId="0" borderId="1" xfId="2" applyNumberFormat="1" applyBorder="1" applyAlignment="1" applyProtection="1">
      <alignment horizontal="center" vertical="center" wrapText="1"/>
    </xf>
    <xf numFmtId="0" fontId="9" fillId="4" borderId="1" xfId="4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7" xfId="0" applyBorder="1"/>
    <xf numFmtId="0" fontId="8" fillId="0" borderId="13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65" fontId="5" fillId="6" borderId="1" xfId="1" applyFont="1" applyFill="1" applyBorder="1" applyAlignment="1" applyProtection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 applyProtection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164" fontId="6" fillId="0" borderId="18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164" fontId="6" fillId="0" borderId="20" xfId="0" applyNumberFormat="1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164" fontId="8" fillId="0" borderId="18" xfId="0" applyNumberFormat="1" applyFont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4" fillId="4" borderId="0" xfId="4" applyFont="1" applyFill="1" applyAlignment="1">
      <alignment horizontal="left" vertical="top" wrapText="1"/>
    </xf>
    <xf numFmtId="164" fontId="15" fillId="4" borderId="0" xfId="4" applyNumberFormat="1" applyFont="1" applyFill="1" applyAlignment="1">
      <alignment horizontal="left" vertical="top" wrapText="1"/>
    </xf>
    <xf numFmtId="0" fontId="13" fillId="4" borderId="18" xfId="4" applyFont="1" applyFill="1" applyBorder="1" applyAlignment="1">
      <alignment horizontal="center" vertical="center" wrapText="1"/>
    </xf>
    <xf numFmtId="0" fontId="16" fillId="9" borderId="18" xfId="4" applyFont="1" applyFill="1" applyBorder="1" applyAlignment="1">
      <alignment horizontal="left" vertical="center" wrapText="1"/>
    </xf>
    <xf numFmtId="0" fontId="16" fillId="9" borderId="18" xfId="4" applyFont="1" applyFill="1" applyBorder="1" applyAlignment="1">
      <alignment horizontal="center" vertical="center" wrapText="1"/>
    </xf>
    <xf numFmtId="10" fontId="9" fillId="0" borderId="18" xfId="2" applyNumberFormat="1" applyBorder="1" applyAlignment="1">
      <alignment horizontal="center" vertical="center"/>
    </xf>
    <xf numFmtId="171" fontId="6" fillId="0" borderId="18" xfId="0" applyNumberFormat="1" applyFont="1" applyBorder="1" applyAlignment="1">
      <alignment vertical="center" wrapText="1"/>
    </xf>
    <xf numFmtId="0" fontId="7" fillId="8" borderId="18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10" fontId="9" fillId="0" borderId="18" xfId="0" applyNumberFormat="1" applyFont="1" applyBorder="1" applyAlignment="1">
      <alignment horizontal="center" vertical="center" wrapText="1"/>
    </xf>
    <xf numFmtId="10" fontId="9" fillId="0" borderId="18" xfId="0" applyNumberFormat="1" applyFont="1" applyBorder="1" applyAlignment="1">
      <alignment vertical="center" wrapText="1"/>
    </xf>
    <xf numFmtId="167" fontId="9" fillId="0" borderId="18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171" fontId="5" fillId="8" borderId="18" xfId="0" applyNumberFormat="1" applyFont="1" applyFill="1" applyBorder="1" applyAlignment="1">
      <alignment vertical="center" wrapText="1"/>
    </xf>
    <xf numFmtId="167" fontId="8" fillId="8" borderId="18" xfId="0" applyNumberFormat="1" applyFont="1" applyFill="1" applyBorder="1" applyAlignment="1">
      <alignment vertical="center" wrapText="1"/>
    </xf>
    <xf numFmtId="10" fontId="8" fillId="8" borderId="18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1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10" fontId="20" fillId="6" borderId="10" xfId="0" applyNumberFormat="1" applyFont="1" applyFill="1" applyBorder="1" applyAlignment="1">
      <alignment horizontal="center" vertical="top" wrapText="1"/>
    </xf>
    <xf numFmtId="10" fontId="20" fillId="6" borderId="21" xfId="0" applyNumberFormat="1" applyFont="1" applyFill="1" applyBorder="1" applyAlignment="1">
      <alignment horizontal="center" vertical="top" wrapText="1"/>
    </xf>
    <xf numFmtId="10" fontId="20" fillId="6" borderId="12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Border="1" applyAlignment="1">
      <alignment horizontal="justify" vertical="center" wrapText="1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4" fontId="5" fillId="0" borderId="2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4" fontId="5" fillId="0" borderId="1" xfId="7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6" fillId="0" borderId="2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center"/>
    </xf>
    <xf numFmtId="165" fontId="5" fillId="0" borderId="1" xfId="8" applyFont="1" applyBorder="1" applyAlignment="1" applyProtection="1">
      <alignment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9" applyAlignment="1">
      <alignment vertical="center"/>
    </xf>
    <xf numFmtId="0" fontId="8" fillId="12" borderId="1" xfId="9" applyFont="1" applyFill="1" applyBorder="1" applyAlignment="1">
      <alignment horizontal="center" vertical="center" wrapText="1"/>
    </xf>
    <xf numFmtId="0" fontId="9" fillId="0" borderId="1" xfId="9" applyBorder="1" applyAlignment="1">
      <alignment vertical="center"/>
    </xf>
    <xf numFmtId="172" fontId="9" fillId="13" borderId="1" xfId="9" applyNumberFormat="1" applyFill="1" applyBorder="1" applyAlignment="1">
      <alignment horizontal="center" vertical="center" wrapText="1"/>
    </xf>
    <xf numFmtId="164" fontId="9" fillId="13" borderId="1" xfId="9" applyNumberFormat="1" applyFill="1" applyBorder="1" applyAlignment="1">
      <alignment horizontal="center" vertical="center" wrapText="1"/>
    </xf>
    <xf numFmtId="0" fontId="9" fillId="14" borderId="1" xfId="9" applyFill="1" applyBorder="1" applyAlignment="1">
      <alignment vertical="center"/>
    </xf>
    <xf numFmtId="164" fontId="9" fillId="14" borderId="1" xfId="9" applyNumberFormat="1" applyFill="1" applyBorder="1" applyAlignment="1">
      <alignment horizontal="center" vertical="center" wrapText="1"/>
    </xf>
    <xf numFmtId="0" fontId="8" fillId="0" borderId="1" xfId="9" applyFont="1" applyBorder="1" applyAlignment="1">
      <alignment vertical="center" wrapText="1"/>
    </xf>
    <xf numFmtId="10" fontId="9" fillId="0" borderId="1" xfId="9" applyNumberFormat="1" applyBorder="1" applyAlignment="1">
      <alignment vertical="center"/>
    </xf>
    <xf numFmtId="0" fontId="8" fillId="0" borderId="1" xfId="9" applyFont="1" applyBorder="1" applyAlignment="1">
      <alignment vertical="center"/>
    </xf>
    <xf numFmtId="164" fontId="9" fillId="0" borderId="1" xfId="9" applyNumberFormat="1" applyBorder="1" applyAlignment="1">
      <alignment vertical="center"/>
    </xf>
    <xf numFmtId="2" fontId="9" fillId="0" borderId="0" xfId="9" applyNumberFormat="1" applyAlignment="1">
      <alignment vertical="center"/>
    </xf>
    <xf numFmtId="164" fontId="21" fillId="15" borderId="1" xfId="9" applyNumberFormat="1" applyFont="1" applyFill="1" applyBorder="1" applyAlignment="1">
      <alignment vertical="center"/>
    </xf>
    <xf numFmtId="4" fontId="9" fillId="0" borderId="0" xfId="9" applyNumberFormat="1" applyAlignment="1">
      <alignment vertical="center"/>
    </xf>
    <xf numFmtId="0" fontId="9" fillId="0" borderId="0" xfId="9"/>
    <xf numFmtId="0" fontId="14" fillId="13" borderId="0" xfId="10" applyFont="1" applyFill="1" applyAlignment="1">
      <alignment horizontal="left" vertical="top" wrapText="1"/>
    </xf>
    <xf numFmtId="164" fontId="15" fillId="13" borderId="0" xfId="10" applyNumberFormat="1" applyFont="1" applyFill="1" applyAlignment="1">
      <alignment horizontal="left" vertical="top" wrapText="1"/>
    </xf>
    <xf numFmtId="0" fontId="13" fillId="13" borderId="1" xfId="10" applyFont="1" applyFill="1" applyBorder="1" applyAlignment="1">
      <alignment horizontal="center" vertical="center" wrapText="1"/>
    </xf>
    <xf numFmtId="0" fontId="16" fillId="13" borderId="1" xfId="10" applyFont="1" applyFill="1" applyBorder="1" applyAlignment="1">
      <alignment horizontal="center" vertical="center" wrapText="1"/>
    </xf>
    <xf numFmtId="2" fontId="16" fillId="0" borderId="1" xfId="10" applyNumberFormat="1" applyFont="1" applyFill="1" applyBorder="1" applyAlignment="1">
      <alignment horizontal="center" vertical="center" wrapText="1"/>
    </xf>
    <xf numFmtId="2" fontId="16" fillId="13" borderId="1" xfId="10" applyNumberFormat="1" applyFont="1" applyFill="1" applyBorder="1" applyAlignment="1">
      <alignment horizontal="center" vertical="center" wrapText="1"/>
    </xf>
    <xf numFmtId="171" fontId="16" fillId="13" borderId="1" xfId="10" applyNumberFormat="1" applyFont="1" applyFill="1" applyBorder="1" applyAlignment="1">
      <alignment horizontal="center" vertical="center" wrapText="1"/>
    </xf>
    <xf numFmtId="0" fontId="12" fillId="0" borderId="0" xfId="9" applyFont="1" applyAlignment="1">
      <alignment wrapText="1"/>
    </xf>
    <xf numFmtId="0" fontId="15" fillId="13" borderId="1" xfId="10" applyFont="1" applyFill="1" applyBorder="1" applyAlignment="1">
      <alignment horizontal="center" vertical="center" wrapText="1"/>
    </xf>
    <xf numFmtId="2" fontId="15" fillId="0" borderId="1" xfId="10" applyNumberFormat="1" applyFont="1" applyFill="1" applyBorder="1" applyAlignment="1">
      <alignment horizontal="center" vertical="center" wrapText="1"/>
    </xf>
    <xf numFmtId="2" fontId="15" fillId="13" borderId="1" xfId="10" applyNumberFormat="1" applyFont="1" applyFill="1" applyBorder="1" applyAlignment="1">
      <alignment horizontal="center" vertical="center" wrapText="1"/>
    </xf>
    <xf numFmtId="171" fontId="15" fillId="13" borderId="1" xfId="10" applyNumberFormat="1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164" fontId="20" fillId="0" borderId="20" xfId="0" applyNumberFormat="1" applyFont="1" applyBorder="1" applyAlignment="1">
      <alignment vertical="center"/>
    </xf>
    <xf numFmtId="0" fontId="8" fillId="19" borderId="1" xfId="9" applyFont="1" applyFill="1" applyBorder="1" applyAlignment="1">
      <alignment horizontal="center" vertical="center" wrapText="1"/>
    </xf>
    <xf numFmtId="0" fontId="9" fillId="20" borderId="1" xfId="9" applyFill="1" applyBorder="1" applyAlignment="1">
      <alignment vertical="center"/>
    </xf>
    <xf numFmtId="164" fontId="9" fillId="20" borderId="1" xfId="9" applyNumberFormat="1" applyFill="1" applyBorder="1" applyAlignment="1">
      <alignment horizontal="center" vertical="center" wrapText="1"/>
    </xf>
    <xf numFmtId="0" fontId="9" fillId="0" borderId="1" xfId="9" applyBorder="1" applyAlignment="1">
      <alignment vertical="center" wrapText="1"/>
    </xf>
    <xf numFmtId="0" fontId="0" fillId="0" borderId="1" xfId="9" applyFont="1" applyBorder="1" applyAlignment="1">
      <alignment vertical="center"/>
    </xf>
    <xf numFmtId="164" fontId="21" fillId="21" borderId="1" xfId="9" applyNumberFormat="1" applyFont="1" applyFill="1" applyBorder="1" applyAlignment="1">
      <alignment vertical="center"/>
    </xf>
    <xf numFmtId="171" fontId="9" fillId="0" borderId="0" xfId="9" applyNumberFormat="1" applyAlignment="1">
      <alignment vertical="center"/>
    </xf>
    <xf numFmtId="171" fontId="9" fillId="0" borderId="0" xfId="9" applyNumberFormat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6" xfId="0" applyNumberFormat="1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5" xfId="0" applyNumberFormat="1" applyFont="1" applyFill="1" applyBorder="1" applyAlignment="1">
      <alignment horizontal="center" vertical="center" wrapText="1"/>
    </xf>
    <xf numFmtId="2" fontId="7" fillId="8" borderId="6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5" xfId="0" applyNumberFormat="1" applyFont="1" applyFill="1" applyBorder="1" applyAlignment="1">
      <alignment horizontal="center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5" xfId="0" applyNumberFormat="1" applyFont="1" applyFill="1" applyBorder="1" applyAlignment="1">
      <alignment horizontal="center" vertical="center"/>
    </xf>
    <xf numFmtId="2" fontId="11" fillId="8" borderId="6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center"/>
    </xf>
    <xf numFmtId="0" fontId="6" fillId="0" borderId="21" xfId="7" applyFont="1" applyBorder="1" applyAlignment="1">
      <alignment horizontal="center" vertical="center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4" fontId="5" fillId="0" borderId="2" xfId="7" applyNumberFormat="1" applyFont="1" applyBorder="1" applyAlignment="1">
      <alignment horizontal="center" vertical="center"/>
    </xf>
    <xf numFmtId="4" fontId="5" fillId="0" borderId="2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4" fontId="5" fillId="6" borderId="5" xfId="0" applyNumberFormat="1" applyFont="1" applyFill="1" applyBorder="1" applyAlignment="1">
      <alignment horizontal="center" vertical="center"/>
    </xf>
    <xf numFmtId="4" fontId="5" fillId="6" borderId="6" xfId="0" applyNumberFormat="1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164" fontId="6" fillId="0" borderId="1" xfId="7" applyNumberFormat="1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 wrapText="1"/>
    </xf>
    <xf numFmtId="0" fontId="8" fillId="8" borderId="14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9" fillId="0" borderId="0" xfId="9" applyAlignment="1">
      <alignment horizontal="left" vertical="center" wrapText="1"/>
    </xf>
    <xf numFmtId="0" fontId="13" fillId="17" borderId="1" xfId="10" applyFont="1" applyFill="1" applyBorder="1" applyAlignment="1">
      <alignment horizontal="center" vertical="center" wrapText="1"/>
    </xf>
    <xf numFmtId="0" fontId="13" fillId="17" borderId="2" xfId="10" applyFont="1" applyFill="1" applyBorder="1" applyAlignment="1">
      <alignment horizontal="center" vertical="center" wrapText="1"/>
    </xf>
    <xf numFmtId="0" fontId="14" fillId="13" borderId="1" xfId="10" applyFont="1" applyFill="1" applyBorder="1" applyAlignment="1">
      <alignment horizontal="left" vertical="top" wrapText="1"/>
    </xf>
    <xf numFmtId="0" fontId="15" fillId="13" borderId="1" xfId="10" applyFont="1" applyFill="1" applyBorder="1" applyAlignment="1">
      <alignment horizontal="left" vertical="top" wrapText="1"/>
    </xf>
    <xf numFmtId="0" fontId="14" fillId="13" borderId="1" xfId="10" applyFont="1" applyFill="1" applyBorder="1" applyAlignment="1">
      <alignment horizontal="left" vertical="center" wrapText="1"/>
    </xf>
    <xf numFmtId="164" fontId="26" fillId="13" borderId="1" xfId="10" applyNumberFormat="1" applyFont="1" applyFill="1" applyBorder="1" applyAlignment="1">
      <alignment horizontal="left" vertical="center"/>
    </xf>
    <xf numFmtId="49" fontId="15" fillId="13" borderId="1" xfId="10" applyNumberFormat="1" applyFont="1" applyFill="1" applyBorder="1" applyAlignment="1">
      <alignment horizontal="left" vertical="top" wrapText="1"/>
    </xf>
    <xf numFmtId="49" fontId="15" fillId="0" borderId="1" xfId="10" applyNumberFormat="1" applyFont="1" applyFill="1" applyBorder="1" applyAlignment="1">
      <alignment horizontal="left" vertical="top" wrapText="1"/>
    </xf>
    <xf numFmtId="0" fontId="13" fillId="8" borderId="20" xfId="4" applyFont="1" applyFill="1" applyBorder="1" applyAlignment="1">
      <alignment horizontal="center" vertical="center" wrapText="1"/>
    </xf>
    <xf numFmtId="0" fontId="14" fillId="4" borderId="18" xfId="4" applyFont="1" applyFill="1" applyBorder="1" applyAlignment="1">
      <alignment horizontal="left" vertical="top" wrapText="1"/>
    </xf>
    <xf numFmtId="0" fontId="15" fillId="4" borderId="18" xfId="4" applyFont="1" applyFill="1" applyBorder="1" applyAlignment="1">
      <alignment horizontal="left" vertical="top" wrapText="1"/>
    </xf>
    <xf numFmtId="49" fontId="15" fillId="4" borderId="18" xfId="4" applyNumberFormat="1" applyFont="1" applyFill="1" applyBorder="1" applyAlignment="1">
      <alignment horizontal="left" vertical="top" wrapText="1"/>
    </xf>
    <xf numFmtId="0" fontId="14" fillId="4" borderId="18" xfId="4" applyFont="1" applyFill="1" applyBorder="1" applyAlignment="1">
      <alignment horizontal="left" vertical="center" wrapText="1"/>
    </xf>
    <xf numFmtId="171" fontId="22" fillId="4" borderId="14" xfId="4" applyNumberFormat="1" applyFont="1" applyFill="1" applyBorder="1" applyAlignment="1">
      <alignment horizontal="left" vertical="center" wrapText="1"/>
    </xf>
    <xf numFmtId="171" fontId="22" fillId="4" borderId="15" xfId="4" applyNumberFormat="1" applyFont="1" applyFill="1" applyBorder="1" applyAlignment="1">
      <alignment horizontal="left" vertical="center" wrapText="1"/>
    </xf>
    <xf numFmtId="171" fontId="22" fillId="4" borderId="16" xfId="4" applyNumberFormat="1" applyFont="1" applyFill="1" applyBorder="1" applyAlignment="1">
      <alignment horizontal="left" vertical="center" wrapText="1"/>
    </xf>
    <xf numFmtId="0" fontId="14" fillId="4" borderId="14" xfId="4" applyFont="1" applyFill="1" applyBorder="1" applyAlignment="1">
      <alignment horizontal="left" vertical="center" wrapText="1"/>
    </xf>
    <xf numFmtId="0" fontId="14" fillId="4" borderId="16" xfId="4" applyFont="1" applyFill="1" applyBorder="1" applyAlignment="1">
      <alignment horizontal="left" vertical="center" wrapText="1"/>
    </xf>
    <xf numFmtId="49" fontId="15" fillId="4" borderId="14" xfId="4" applyNumberFormat="1" applyFont="1" applyFill="1" applyBorder="1" applyAlignment="1">
      <alignment horizontal="left" vertical="center" wrapText="1"/>
    </xf>
    <xf numFmtId="0" fontId="15" fillId="4" borderId="15" xfId="4" applyFont="1" applyFill="1" applyBorder="1" applyAlignment="1">
      <alignment horizontal="left" vertical="center" wrapText="1"/>
    </xf>
    <xf numFmtId="0" fontId="15" fillId="4" borderId="16" xfId="4" applyFont="1" applyFill="1" applyBorder="1" applyAlignment="1">
      <alignment horizontal="left" vertical="center" wrapText="1"/>
    </xf>
    <xf numFmtId="0" fontId="15" fillId="4" borderId="14" xfId="4" applyFont="1" applyFill="1" applyBorder="1" applyAlignment="1">
      <alignment horizontal="left" vertical="center" wrapText="1"/>
    </xf>
    <xf numFmtId="0" fontId="13" fillId="8" borderId="18" xfId="4" applyFont="1" applyFill="1" applyBorder="1" applyAlignment="1">
      <alignment horizontal="center" vertical="center" wrapText="1"/>
    </xf>
    <xf numFmtId="0" fontId="13" fillId="8" borderId="14" xfId="4" applyFont="1" applyFill="1" applyBorder="1" applyAlignment="1">
      <alignment horizontal="center" vertical="center" wrapText="1"/>
    </xf>
    <xf numFmtId="0" fontId="13" fillId="8" borderId="15" xfId="4" applyFont="1" applyFill="1" applyBorder="1" applyAlignment="1">
      <alignment horizontal="center" vertical="center" wrapText="1"/>
    </xf>
    <xf numFmtId="0" fontId="13" fillId="8" borderId="16" xfId="4" applyFont="1" applyFill="1" applyBorder="1" applyAlignment="1">
      <alignment horizontal="center" vertical="center" wrapText="1"/>
    </xf>
    <xf numFmtId="164" fontId="22" fillId="4" borderId="18" xfId="4" applyNumberFormat="1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6" xfId="0" applyFont="1" applyFill="1" applyBorder="1" applyAlignment="1">
      <alignment horizontal="left" vertical="center" wrapText="1"/>
    </xf>
    <xf numFmtId="0" fontId="7" fillId="8" borderId="18" xfId="0" applyFont="1" applyFill="1" applyBorder="1" applyAlignment="1">
      <alignment horizontal="center" vertical="center"/>
    </xf>
  </cellXfs>
  <cellStyles count="11">
    <cellStyle name="Moeda" xfId="1" builtinId="4"/>
    <cellStyle name="Moeda 2" xfId="8" xr:uid="{2153FD98-135D-480F-8BF9-61E8E505D7F8}"/>
    <cellStyle name="Normal" xfId="0" builtinId="0"/>
    <cellStyle name="Normal 2" xfId="3" xr:uid="{00000000-0005-0000-0000-000006000000}"/>
    <cellStyle name="Normal 3" xfId="7" xr:uid="{5DFA51CC-9155-490F-9555-2FF5C16EBFF2}"/>
    <cellStyle name="Normal 4" xfId="9" xr:uid="{DB5C00D5-6CAC-4B7F-A0CC-3B73A2BBCDFF}"/>
    <cellStyle name="Porcentagem" xfId="2" builtinId="5"/>
    <cellStyle name="Porcentagem 2" xfId="6" xr:uid="{2471ECED-5228-4FA0-BC27-754CCBE00305}"/>
    <cellStyle name="TableStyleLight1" xfId="4" xr:uid="{00000000-0005-0000-0000-000007000000}"/>
    <cellStyle name="TableStyleLight1 2" xfId="5" xr:uid="{EAC7E34F-9839-4F72-9D52-C69C174952DE}"/>
    <cellStyle name="TableStyleLight1 3" xfId="10" xr:uid="{A160AEF7-94A8-47B2-8920-7F51B2D221BE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21</xdr:row>
      <xdr:rowOff>20880</xdr:rowOff>
    </xdr:from>
    <xdr:ext cx="6434842" cy="801720"/>
    <xdr:pic>
      <xdr:nvPicPr>
        <xdr:cNvPr id="2" name="Figura 1">
          <a:extLst>
            <a:ext uri="{FF2B5EF4-FFF2-40B4-BE49-F238E27FC236}">
              <a16:creationId xmlns:a16="http://schemas.microsoft.com/office/drawing/2014/main" id="{4D9AA126-02B8-4F24-82EB-1B9F69C7B922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428625" y="3964230"/>
          <a:ext cx="6434842" cy="801720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142541</xdr:colOff>
      <xdr:row>25</xdr:row>
      <xdr:rowOff>61465</xdr:rowOff>
    </xdr:from>
    <xdr:ext cx="6222262" cy="630011"/>
    <xdr:pic>
      <xdr:nvPicPr>
        <xdr:cNvPr id="3" name="Figura 2">
          <a:extLst>
            <a:ext uri="{FF2B5EF4-FFF2-40B4-BE49-F238E27FC236}">
              <a16:creationId xmlns:a16="http://schemas.microsoft.com/office/drawing/2014/main" id="{4DDFCE5C-0B39-4875-8100-10BB415D6236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571166" y="6138415"/>
          <a:ext cx="6222262" cy="630011"/>
        </a:xfrm>
        <a:prstGeom prst="rect">
          <a:avLst/>
        </a:prstGeom>
        <a:ln w="0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B5" sqref="B5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8" width="10.625" style="5" customWidth="1"/>
    <col min="9" max="9" width="19.625" style="5" customWidth="1"/>
    <col min="10" max="254" width="10.625" style="5" customWidth="1"/>
    <col min="255" max="1026" width="10.5" customWidth="1"/>
  </cols>
  <sheetData>
    <row r="1" spans="2:7" ht="15" customHeight="1"/>
    <row r="2" spans="2:7" ht="103.7" customHeight="1">
      <c r="B2" s="191"/>
      <c r="C2" s="192"/>
      <c r="D2" s="192"/>
      <c r="E2" s="192"/>
      <c r="F2" s="192"/>
      <c r="G2" s="193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194" t="s">
        <v>315</v>
      </c>
      <c r="C4" s="195"/>
      <c r="D4" s="195"/>
      <c r="E4" s="195"/>
      <c r="F4" s="195"/>
      <c r="G4" s="196"/>
    </row>
    <row r="5" spans="2:7" ht="18" customHeight="1">
      <c r="B5" s="4"/>
      <c r="C5" s="4"/>
      <c r="D5" s="4"/>
      <c r="E5" s="4"/>
      <c r="F5" s="4"/>
      <c r="G5" s="4"/>
    </row>
    <row r="6" spans="2:7" ht="20.100000000000001" customHeight="1">
      <c r="B6" s="197" t="s">
        <v>0</v>
      </c>
      <c r="C6" s="198"/>
      <c r="D6" s="198"/>
      <c r="E6" s="198"/>
      <c r="F6" s="198"/>
      <c r="G6" s="199"/>
    </row>
    <row r="7" spans="2:7" ht="20.100000000000001" customHeight="1">
      <c r="B7" s="204" t="s">
        <v>1</v>
      </c>
      <c r="C7" s="205"/>
      <c r="D7" s="205"/>
      <c r="E7" s="205"/>
      <c r="F7" s="205"/>
      <c r="G7" s="206"/>
    </row>
    <row r="8" spans="2:7" ht="20.100000000000001" customHeight="1">
      <c r="B8" s="200" t="s">
        <v>2</v>
      </c>
      <c r="C8" s="201"/>
      <c r="D8" s="201"/>
      <c r="E8" s="201"/>
      <c r="F8" s="201"/>
      <c r="G8" s="202"/>
    </row>
    <row r="9" spans="2:7" ht="15.75" customHeight="1">
      <c r="B9" s="4"/>
      <c r="C9" s="4"/>
      <c r="D9" s="4"/>
      <c r="E9" s="4"/>
      <c r="F9" s="4"/>
      <c r="G9" s="4"/>
    </row>
    <row r="10" spans="2:7" ht="42.2" customHeight="1">
      <c r="B10" s="120" t="s">
        <v>3</v>
      </c>
      <c r="C10" s="120" t="s">
        <v>4</v>
      </c>
      <c r="D10" s="120" t="s">
        <v>5</v>
      </c>
      <c r="E10" s="120" t="s">
        <v>6</v>
      </c>
      <c r="F10" s="120" t="s">
        <v>7</v>
      </c>
      <c r="G10" s="120" t="s">
        <v>8</v>
      </c>
    </row>
    <row r="11" spans="2:7" ht="81.599999999999994" customHeight="1">
      <c r="B11" s="121">
        <v>11</v>
      </c>
      <c r="C11" s="122" t="s">
        <v>9</v>
      </c>
      <c r="D11" s="123" t="s">
        <v>10</v>
      </c>
      <c r="E11" s="123">
        <v>12</v>
      </c>
      <c r="F11" s="124">
        <f>ROUND(Resumo!D6+Resumo!F6,2)</f>
        <v>120983.35</v>
      </c>
      <c r="G11" s="125">
        <f>F11*12</f>
        <v>1451800.2000000002</v>
      </c>
    </row>
    <row r="12" spans="2:7" ht="42.4" customHeight="1">
      <c r="B12" s="203" t="s">
        <v>314</v>
      </c>
      <c r="C12" s="203"/>
      <c r="D12" s="203"/>
      <c r="E12" s="203"/>
      <c r="F12" s="203"/>
      <c r="G12" s="203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08" zoomScaleNormal="108" workbookViewId="0">
      <selection activeCell="L13" sqref="L13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280" t="s">
        <v>131</v>
      </c>
      <c r="C2" s="280"/>
      <c r="D2" s="280"/>
      <c r="E2" s="280"/>
      <c r="F2" s="280"/>
      <c r="G2" s="280"/>
      <c r="H2" s="280"/>
      <c r="I2" s="280"/>
    </row>
    <row r="3" spans="2:9" ht="21" customHeight="1"/>
    <row r="4" spans="2:9" ht="17.100000000000001" customHeight="1">
      <c r="B4" s="266" t="s">
        <v>132</v>
      </c>
      <c r="C4" s="266"/>
      <c r="D4" s="266"/>
      <c r="E4" s="266"/>
      <c r="F4" s="266"/>
      <c r="G4" s="266"/>
      <c r="H4" s="266"/>
      <c r="I4" s="266"/>
    </row>
    <row r="5" spans="2:9" ht="17.100000000000001" customHeight="1">
      <c r="B5" s="267" t="s">
        <v>133</v>
      </c>
      <c r="C5" s="267"/>
      <c r="D5" s="268" t="s">
        <v>134</v>
      </c>
      <c r="E5" s="268"/>
      <c r="F5" s="268"/>
      <c r="G5" s="268"/>
      <c r="H5" s="268"/>
      <c r="I5" s="268"/>
    </row>
    <row r="6" spans="2:9" ht="17.100000000000001" customHeight="1">
      <c r="B6" s="267" t="s">
        <v>119</v>
      </c>
      <c r="C6" s="267"/>
      <c r="D6" s="268" t="s">
        <v>135</v>
      </c>
      <c r="E6" s="268"/>
      <c r="F6" s="268"/>
      <c r="G6" s="268"/>
      <c r="H6" s="268"/>
      <c r="I6" s="268"/>
    </row>
    <row r="7" spans="2:9" ht="17.100000000000001" customHeight="1">
      <c r="B7" s="267" t="s">
        <v>136</v>
      </c>
      <c r="C7" s="267"/>
      <c r="D7" s="269" t="s">
        <v>232</v>
      </c>
      <c r="E7" s="269"/>
      <c r="F7" s="269"/>
      <c r="G7" s="269"/>
      <c r="H7" s="269"/>
      <c r="I7" s="269"/>
    </row>
    <row r="8" spans="2:9" ht="17.100000000000001" customHeight="1">
      <c r="B8" s="267" t="s">
        <v>137</v>
      </c>
      <c r="C8" s="267"/>
      <c r="D8" s="268" t="s">
        <v>138</v>
      </c>
      <c r="E8" s="268"/>
      <c r="F8" s="268"/>
      <c r="G8" s="268"/>
      <c r="H8" s="268"/>
      <c r="I8" s="268"/>
    </row>
    <row r="9" spans="2:9" ht="17.100000000000001" customHeight="1">
      <c r="B9" s="267" t="s">
        <v>139</v>
      </c>
      <c r="C9" s="267"/>
      <c r="D9" s="268" t="s">
        <v>140</v>
      </c>
      <c r="E9" s="268"/>
      <c r="F9" s="268"/>
      <c r="G9" s="268"/>
      <c r="H9" s="268"/>
      <c r="I9" s="268"/>
    </row>
    <row r="10" spans="2:9" ht="17.100000000000001" customHeight="1">
      <c r="B10" s="267" t="s">
        <v>120</v>
      </c>
      <c r="C10" s="267"/>
      <c r="D10" s="268" t="s">
        <v>124</v>
      </c>
      <c r="E10" s="268"/>
      <c r="F10" s="268"/>
      <c r="G10" s="268"/>
      <c r="H10" s="268"/>
      <c r="I10" s="268"/>
    </row>
    <row r="11" spans="2:9" ht="23.85" customHeight="1">
      <c r="B11" s="270" t="s">
        <v>141</v>
      </c>
      <c r="C11" s="270"/>
      <c r="D11" s="284">
        <f>SUM(I14:I18)</f>
        <v>50.55</v>
      </c>
      <c r="E11" s="284"/>
      <c r="F11" s="284"/>
      <c r="G11" s="284"/>
      <c r="H11" s="284"/>
      <c r="I11" s="284"/>
    </row>
    <row r="12" spans="2:9" ht="15.75" customHeight="1">
      <c r="B12" s="103"/>
      <c r="C12" s="103"/>
      <c r="D12" s="104"/>
      <c r="E12" s="104"/>
      <c r="F12" s="104"/>
      <c r="G12" s="104"/>
      <c r="H12" s="104"/>
      <c r="I12" s="104"/>
    </row>
    <row r="13" spans="2:9" ht="29.65" customHeight="1">
      <c r="B13" s="105"/>
      <c r="C13" s="105" t="s">
        <v>142</v>
      </c>
      <c r="D13" s="105" t="s">
        <v>119</v>
      </c>
      <c r="E13" s="105" t="s">
        <v>139</v>
      </c>
      <c r="F13" s="105" t="s">
        <v>120</v>
      </c>
      <c r="G13" s="105" t="s">
        <v>141</v>
      </c>
      <c r="H13" s="105" t="s">
        <v>143</v>
      </c>
      <c r="I13" s="105" t="s">
        <v>141</v>
      </c>
    </row>
    <row r="14" spans="2:9" ht="28.35" customHeight="1">
      <c r="B14" s="107" t="s">
        <v>144</v>
      </c>
      <c r="C14" s="107" t="s">
        <v>145</v>
      </c>
      <c r="D14" s="106" t="s">
        <v>146</v>
      </c>
      <c r="E14" s="106" t="s">
        <v>140</v>
      </c>
      <c r="F14" s="107" t="s">
        <v>147</v>
      </c>
      <c r="G14" s="107">
        <v>4.8600000000000003</v>
      </c>
      <c r="H14" s="107" t="s">
        <v>148</v>
      </c>
      <c r="I14" s="107">
        <f>G14*H14</f>
        <v>4.8600000000000003</v>
      </c>
    </row>
    <row r="15" spans="2:9" ht="28.35" customHeight="1">
      <c r="B15" s="107" t="s">
        <v>144</v>
      </c>
      <c r="C15" s="107" t="s">
        <v>149</v>
      </c>
      <c r="D15" s="106" t="s">
        <v>150</v>
      </c>
      <c r="E15" s="106" t="s">
        <v>140</v>
      </c>
      <c r="F15" s="107" t="s">
        <v>147</v>
      </c>
      <c r="G15" s="107">
        <v>1.49</v>
      </c>
      <c r="H15" s="107" t="s">
        <v>148</v>
      </c>
      <c r="I15" s="107">
        <f>G15*H15</f>
        <v>1.49</v>
      </c>
    </row>
    <row r="16" spans="2:9" ht="42.6" customHeight="1">
      <c r="B16" s="107" t="s">
        <v>144</v>
      </c>
      <c r="C16" s="107" t="s">
        <v>151</v>
      </c>
      <c r="D16" s="106" t="s">
        <v>152</v>
      </c>
      <c r="E16" s="106" t="s">
        <v>140</v>
      </c>
      <c r="F16" s="107" t="s">
        <v>147</v>
      </c>
      <c r="G16" s="107">
        <v>0.6</v>
      </c>
      <c r="H16" s="107" t="s">
        <v>148</v>
      </c>
      <c r="I16" s="107">
        <f>G16*H16</f>
        <v>0.6</v>
      </c>
    </row>
    <row r="17" spans="2:9" ht="28.35" customHeight="1">
      <c r="B17" s="107" t="s">
        <v>144</v>
      </c>
      <c r="C17" s="107" t="s">
        <v>153</v>
      </c>
      <c r="D17" s="106" t="s">
        <v>154</v>
      </c>
      <c r="E17" s="106" t="s">
        <v>140</v>
      </c>
      <c r="F17" s="107" t="s">
        <v>147</v>
      </c>
      <c r="G17" s="107">
        <v>6.07</v>
      </c>
      <c r="H17" s="107" t="s">
        <v>148</v>
      </c>
      <c r="I17" s="107">
        <f>G17*H17</f>
        <v>6.07</v>
      </c>
    </row>
    <row r="18" spans="2:9" ht="42.6" customHeight="1">
      <c r="B18" s="107" t="s">
        <v>144</v>
      </c>
      <c r="C18" s="107" t="s">
        <v>155</v>
      </c>
      <c r="D18" s="106" t="s">
        <v>156</v>
      </c>
      <c r="E18" s="106" t="s">
        <v>140</v>
      </c>
      <c r="F18" s="107" t="s">
        <v>147</v>
      </c>
      <c r="G18" s="107">
        <v>37.53</v>
      </c>
      <c r="H18" s="107" t="s">
        <v>148</v>
      </c>
      <c r="I18" s="107">
        <f>G18*H18</f>
        <v>37.53</v>
      </c>
    </row>
    <row r="19" spans="2:9" ht="28.35" customHeight="1"/>
    <row r="20" spans="2:9" ht="17.100000000000001" customHeight="1">
      <c r="B20" s="281" t="s">
        <v>157</v>
      </c>
      <c r="C20" s="282"/>
      <c r="D20" s="282"/>
      <c r="E20" s="282"/>
      <c r="F20" s="282"/>
      <c r="G20" s="282"/>
      <c r="H20" s="282"/>
      <c r="I20" s="283"/>
    </row>
    <row r="21" spans="2:9" ht="17.100000000000001" customHeight="1">
      <c r="B21" s="274" t="s">
        <v>133</v>
      </c>
      <c r="C21" s="275"/>
      <c r="D21" s="279" t="s">
        <v>158</v>
      </c>
      <c r="E21" s="277"/>
      <c r="F21" s="277"/>
      <c r="G21" s="277"/>
      <c r="H21" s="277"/>
      <c r="I21" s="278"/>
    </row>
    <row r="22" spans="2:9" ht="17.100000000000001" customHeight="1">
      <c r="B22" s="274" t="s">
        <v>119</v>
      </c>
      <c r="C22" s="275"/>
      <c r="D22" s="279" t="s">
        <v>159</v>
      </c>
      <c r="E22" s="277"/>
      <c r="F22" s="277"/>
      <c r="G22" s="277"/>
      <c r="H22" s="277"/>
      <c r="I22" s="278"/>
    </row>
    <row r="23" spans="2:9" ht="17.100000000000001" customHeight="1">
      <c r="B23" s="274" t="s">
        <v>136</v>
      </c>
      <c r="C23" s="275"/>
      <c r="D23" s="276" t="str">
        <f>D7</f>
        <v>10/2023</v>
      </c>
      <c r="E23" s="277"/>
      <c r="F23" s="277"/>
      <c r="G23" s="277"/>
      <c r="H23" s="277"/>
      <c r="I23" s="278"/>
    </row>
    <row r="24" spans="2:9" ht="17.100000000000001" customHeight="1">
      <c r="B24" s="274" t="s">
        <v>137</v>
      </c>
      <c r="C24" s="275"/>
      <c r="D24" s="279" t="str">
        <f>D8</f>
        <v>Rio Grande do Sul</v>
      </c>
      <c r="E24" s="277"/>
      <c r="F24" s="277"/>
      <c r="G24" s="277"/>
      <c r="H24" s="277"/>
      <c r="I24" s="278"/>
    </row>
    <row r="25" spans="2:9" ht="17.100000000000001" customHeight="1">
      <c r="B25" s="274" t="s">
        <v>139</v>
      </c>
      <c r="C25" s="275"/>
      <c r="D25" s="279" t="s">
        <v>140</v>
      </c>
      <c r="E25" s="277"/>
      <c r="F25" s="277"/>
      <c r="G25" s="277"/>
      <c r="H25" s="277"/>
      <c r="I25" s="278"/>
    </row>
    <row r="26" spans="2:9" ht="17.100000000000001" customHeight="1">
      <c r="B26" s="274" t="s">
        <v>120</v>
      </c>
      <c r="C26" s="275"/>
      <c r="D26" s="279" t="s">
        <v>126</v>
      </c>
      <c r="E26" s="277"/>
      <c r="F26" s="277"/>
      <c r="G26" s="277"/>
      <c r="H26" s="277"/>
      <c r="I26" s="278"/>
    </row>
    <row r="27" spans="2:9" ht="23.85" customHeight="1">
      <c r="B27" s="270" t="s">
        <v>141</v>
      </c>
      <c r="C27" s="270"/>
      <c r="D27" s="271">
        <f>SUM(I30:I32)</f>
        <v>6.95</v>
      </c>
      <c r="E27" s="272"/>
      <c r="F27" s="272"/>
      <c r="G27" s="272"/>
      <c r="H27" s="272"/>
      <c r="I27" s="273"/>
    </row>
    <row r="28" spans="2:9" ht="15.75" customHeight="1">
      <c r="B28" s="103"/>
      <c r="C28" s="103"/>
      <c r="D28" s="104"/>
      <c r="E28" s="104"/>
      <c r="F28" s="104"/>
      <c r="G28" s="104"/>
      <c r="H28" s="104"/>
      <c r="I28" s="104"/>
    </row>
    <row r="29" spans="2:9" ht="29.65" customHeight="1">
      <c r="B29" s="105"/>
      <c r="C29" s="105" t="s">
        <v>142</v>
      </c>
      <c r="D29" s="105" t="s">
        <v>119</v>
      </c>
      <c r="E29" s="105" t="s">
        <v>139</v>
      </c>
      <c r="F29" s="105" t="s">
        <v>120</v>
      </c>
      <c r="G29" s="105" t="s">
        <v>141</v>
      </c>
      <c r="H29" s="105" t="s">
        <v>143</v>
      </c>
      <c r="I29" s="105" t="s">
        <v>141</v>
      </c>
    </row>
    <row r="30" spans="2:9" ht="28.35" customHeight="1">
      <c r="B30" s="107" t="s">
        <v>144</v>
      </c>
      <c r="C30" s="107" t="s">
        <v>145</v>
      </c>
      <c r="D30" s="106" t="s">
        <v>146</v>
      </c>
      <c r="E30" s="106" t="s">
        <v>140</v>
      </c>
      <c r="F30" s="107" t="s">
        <v>147</v>
      </c>
      <c r="G30" s="107">
        <f>G14</f>
        <v>4.8600000000000003</v>
      </c>
      <c r="H30" s="107" t="s">
        <v>148</v>
      </c>
      <c r="I30" s="107">
        <f>G30*H30</f>
        <v>4.8600000000000003</v>
      </c>
    </row>
    <row r="31" spans="2:9" ht="28.35" customHeight="1">
      <c r="B31" s="107" t="s">
        <v>144</v>
      </c>
      <c r="C31" s="107" t="s">
        <v>149</v>
      </c>
      <c r="D31" s="106" t="s">
        <v>150</v>
      </c>
      <c r="E31" s="106" t="s">
        <v>140</v>
      </c>
      <c r="F31" s="107" t="s">
        <v>147</v>
      </c>
      <c r="G31" s="107">
        <f>G15</f>
        <v>1.49</v>
      </c>
      <c r="H31" s="107" t="s">
        <v>148</v>
      </c>
      <c r="I31" s="107">
        <f>G31*H31</f>
        <v>1.49</v>
      </c>
    </row>
    <row r="32" spans="2:9" ht="42.6" customHeight="1">
      <c r="B32" s="107" t="s">
        <v>144</v>
      </c>
      <c r="C32" s="107" t="s">
        <v>151</v>
      </c>
      <c r="D32" s="106" t="s">
        <v>152</v>
      </c>
      <c r="E32" s="106" t="s">
        <v>140</v>
      </c>
      <c r="F32" s="107" t="s">
        <v>147</v>
      </c>
      <c r="G32" s="107">
        <f>G16</f>
        <v>0.6</v>
      </c>
      <c r="H32" s="107" t="s">
        <v>148</v>
      </c>
      <c r="I32" s="107">
        <f>G32*H32</f>
        <v>0.6</v>
      </c>
    </row>
  </sheetData>
  <mergeCells count="31"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4:I4"/>
    <mergeCell ref="B5:C5"/>
    <mergeCell ref="D5:I5"/>
    <mergeCell ref="B6:C6"/>
    <mergeCell ref="D6:I6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21"/>
  <sheetViews>
    <sheetView showGridLines="0" zoomScaleNormal="100" workbookViewId="0">
      <selection activeCell="H24" sqref="H24"/>
    </sheetView>
  </sheetViews>
  <sheetFormatPr defaultRowHeight="14.25"/>
  <cols>
    <col min="1" max="1" width="5.625" customWidth="1"/>
    <col min="2" max="2" width="15.12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45" customFormat="1" ht="29.25" customHeight="1">
      <c r="B2" s="285" t="str">
        <f>"RELAÇÃO DE UNIDADES DO "&amp;'Valor da Contratação'!B7&amp;""</f>
        <v>RELAÇÃO DE UNIDADES DO POLO XI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7"/>
    </row>
    <row r="3" spans="2:14" s="7" customFormat="1" ht="15" customHeight="1"/>
    <row r="4" spans="2:14" ht="66.75" customHeight="1">
      <c r="B4" s="70" t="s">
        <v>160</v>
      </c>
      <c r="C4" s="70" t="s">
        <v>11</v>
      </c>
      <c r="D4" s="70" t="s">
        <v>37</v>
      </c>
      <c r="E4" s="70" t="s">
        <v>161</v>
      </c>
      <c r="F4" s="70" t="s">
        <v>162</v>
      </c>
      <c r="G4" s="70" t="s">
        <v>163</v>
      </c>
      <c r="H4" s="70" t="s">
        <v>67</v>
      </c>
      <c r="I4" s="70" t="s">
        <v>164</v>
      </c>
      <c r="J4" s="70" t="s">
        <v>165</v>
      </c>
      <c r="K4" s="70" t="s">
        <v>166</v>
      </c>
      <c r="L4" s="70" t="s">
        <v>167</v>
      </c>
      <c r="M4" s="70" t="s">
        <v>168</v>
      </c>
      <c r="N4" s="70" t="s">
        <v>169</v>
      </c>
    </row>
    <row r="5" spans="2:14" ht="18" customHeight="1">
      <c r="B5" s="11" t="s">
        <v>170</v>
      </c>
      <c r="C5" s="11" t="s">
        <v>19</v>
      </c>
      <c r="D5" s="55" t="s">
        <v>77</v>
      </c>
      <c r="E5" s="56" t="s">
        <v>171</v>
      </c>
      <c r="F5" s="50">
        <v>6.83</v>
      </c>
      <c r="G5" s="57">
        <v>2.5000000000000001E-2</v>
      </c>
      <c r="H5" s="57">
        <f>HLOOKUP(G5,BDI!$C$19:$I$30,12,)</f>
        <v>0.29070000000000001</v>
      </c>
      <c r="I5" s="52">
        <v>2867.83</v>
      </c>
      <c r="J5" s="52">
        <v>1126.57</v>
      </c>
      <c r="K5" s="52">
        <v>1050.92</v>
      </c>
      <c r="L5" s="52">
        <v>690.34</v>
      </c>
      <c r="M5" s="52" t="s">
        <v>172</v>
      </c>
      <c r="N5" s="52" t="s">
        <v>173</v>
      </c>
    </row>
    <row r="6" spans="2:14" ht="18" customHeight="1">
      <c r="B6" s="11" t="s">
        <v>170</v>
      </c>
      <c r="C6" s="11" t="s">
        <v>19</v>
      </c>
      <c r="D6" s="55" t="s">
        <v>79</v>
      </c>
      <c r="E6" s="58" t="s">
        <v>174</v>
      </c>
      <c r="F6" s="50">
        <v>7.47</v>
      </c>
      <c r="G6" s="57">
        <v>0.02</v>
      </c>
      <c r="H6" s="57">
        <f>HLOOKUP(G6,BDI!$C$19:$I$30,12,)</f>
        <v>0.28349999999999997</v>
      </c>
      <c r="I6" s="52">
        <v>471.71</v>
      </c>
      <c r="J6" s="52">
        <v>399.44</v>
      </c>
      <c r="K6" s="52">
        <v>72.27</v>
      </c>
      <c r="L6" s="52">
        <v>0</v>
      </c>
      <c r="M6" s="52" t="s">
        <v>172</v>
      </c>
      <c r="N6" s="52" t="s">
        <v>172</v>
      </c>
    </row>
    <row r="7" spans="2:14" ht="18" customHeight="1">
      <c r="B7" s="11" t="s">
        <v>170</v>
      </c>
      <c r="C7" s="11" t="s">
        <v>19</v>
      </c>
      <c r="D7" s="55" t="s">
        <v>81</v>
      </c>
      <c r="E7" s="58" t="s">
        <v>175</v>
      </c>
      <c r="F7" s="50">
        <v>8.67</v>
      </c>
      <c r="G7" s="57">
        <v>0.02</v>
      </c>
      <c r="H7" s="57">
        <f>HLOOKUP(G7,BDI!$C$19:$I$30,12,)</f>
        <v>0.28349999999999997</v>
      </c>
      <c r="I7" s="52">
        <v>334.4</v>
      </c>
      <c r="J7" s="52">
        <v>296</v>
      </c>
      <c r="K7" s="52">
        <v>38.4</v>
      </c>
      <c r="L7" s="52">
        <v>0</v>
      </c>
      <c r="M7" s="52" t="s">
        <v>172</v>
      </c>
      <c r="N7" s="52" t="s">
        <v>172</v>
      </c>
    </row>
    <row r="8" spans="2:14" ht="18" customHeight="1">
      <c r="B8" s="11" t="s">
        <v>19</v>
      </c>
      <c r="C8" s="11" t="s">
        <v>19</v>
      </c>
      <c r="D8" s="55" t="s">
        <v>82</v>
      </c>
      <c r="E8" s="56" t="s">
        <v>176</v>
      </c>
      <c r="F8" s="50">
        <v>3.3</v>
      </c>
      <c r="G8" s="57">
        <v>3.5000000000000003E-2</v>
      </c>
      <c r="H8" s="57">
        <f>HLOOKUP(G8,BDI!$C$19:$I$30,12,)</f>
        <v>0.30530000000000002</v>
      </c>
      <c r="I8" s="52">
        <v>412.55</v>
      </c>
      <c r="J8" s="52">
        <v>270.13</v>
      </c>
      <c r="K8" s="52">
        <v>76.78</v>
      </c>
      <c r="L8" s="52">
        <v>65.64</v>
      </c>
      <c r="M8" s="52" t="s">
        <v>172</v>
      </c>
      <c r="N8" s="52" t="s">
        <v>172</v>
      </c>
    </row>
    <row r="9" spans="2:14" ht="18" customHeight="1">
      <c r="B9" s="11" t="s">
        <v>19</v>
      </c>
      <c r="C9" s="11" t="s">
        <v>19</v>
      </c>
      <c r="D9" s="55" t="s">
        <v>83</v>
      </c>
      <c r="E9" s="56" t="s">
        <v>177</v>
      </c>
      <c r="F9" s="50">
        <v>3.23</v>
      </c>
      <c r="G9" s="57">
        <v>0.03</v>
      </c>
      <c r="H9" s="57">
        <f>HLOOKUP(G9,BDI!$C$19:$I$30,12,)</f>
        <v>0.2979</v>
      </c>
      <c r="I9" s="52">
        <v>530.17999999999995</v>
      </c>
      <c r="J9" s="52">
        <v>229.74</v>
      </c>
      <c r="K9" s="52">
        <v>300.44</v>
      </c>
      <c r="L9" s="52">
        <v>0</v>
      </c>
      <c r="M9" s="52" t="s">
        <v>172</v>
      </c>
      <c r="N9" s="52" t="s">
        <v>172</v>
      </c>
    </row>
    <row r="10" spans="2:14" ht="18" customHeight="1">
      <c r="B10" s="11" t="s">
        <v>19</v>
      </c>
      <c r="C10" s="11" t="s">
        <v>19</v>
      </c>
      <c r="D10" s="55" t="s">
        <v>85</v>
      </c>
      <c r="E10" s="56" t="s">
        <v>178</v>
      </c>
      <c r="F10" s="50">
        <v>3.73</v>
      </c>
      <c r="G10" s="57">
        <v>0.02</v>
      </c>
      <c r="H10" s="57">
        <f>HLOOKUP(G10,BDI!$C$19:$I$30,12,)</f>
        <v>0.28349999999999997</v>
      </c>
      <c r="I10" s="52">
        <v>1534.01</v>
      </c>
      <c r="J10" s="52">
        <v>790.63</v>
      </c>
      <c r="K10" s="52">
        <v>0</v>
      </c>
      <c r="L10" s="52">
        <v>1788.58</v>
      </c>
      <c r="M10" s="52" t="s">
        <v>172</v>
      </c>
      <c r="N10" s="52" t="s">
        <v>173</v>
      </c>
    </row>
    <row r="11" spans="2:14" ht="18" customHeight="1">
      <c r="B11" s="11" t="s">
        <v>19</v>
      </c>
      <c r="C11" s="11" t="s">
        <v>19</v>
      </c>
      <c r="D11" s="55" t="s">
        <v>86</v>
      </c>
      <c r="E11" s="56" t="s">
        <v>179</v>
      </c>
      <c r="F11" s="50">
        <v>6.8</v>
      </c>
      <c r="G11" s="57">
        <v>0.05</v>
      </c>
      <c r="H11" s="57">
        <f>HLOOKUP(G11,BDI!$C$19:$I$30,12,)</f>
        <v>0.32779999999999998</v>
      </c>
      <c r="I11" s="52">
        <v>334.4</v>
      </c>
      <c r="J11" s="52">
        <v>296</v>
      </c>
      <c r="K11" s="52">
        <v>38.4</v>
      </c>
      <c r="L11" s="52">
        <v>0</v>
      </c>
      <c r="M11" s="52" t="s">
        <v>172</v>
      </c>
      <c r="N11" s="52" t="s">
        <v>172</v>
      </c>
    </row>
    <row r="12" spans="2:14" ht="18" customHeight="1">
      <c r="B12" s="11" t="s">
        <v>19</v>
      </c>
      <c r="C12" s="11" t="s">
        <v>19</v>
      </c>
      <c r="D12" s="55" t="s">
        <v>88</v>
      </c>
      <c r="E12" s="56" t="s">
        <v>180</v>
      </c>
      <c r="F12" s="50">
        <v>4.93</v>
      </c>
      <c r="G12" s="57">
        <v>0.02</v>
      </c>
      <c r="H12" s="57">
        <f>HLOOKUP(G12,BDI!$C$19:$I$30,12,)</f>
        <v>0.28349999999999997</v>
      </c>
      <c r="I12" s="52">
        <v>1256.19</v>
      </c>
      <c r="J12" s="52">
        <v>361.15</v>
      </c>
      <c r="K12" s="52">
        <v>533.91999999999996</v>
      </c>
      <c r="L12" s="52">
        <v>361.12</v>
      </c>
      <c r="M12" s="52" t="s">
        <v>172</v>
      </c>
      <c r="N12" s="52" t="s">
        <v>173</v>
      </c>
    </row>
    <row r="13" spans="2:14" ht="18" customHeight="1">
      <c r="B13" s="11" t="s">
        <v>19</v>
      </c>
      <c r="C13" s="11" t="s">
        <v>19</v>
      </c>
      <c r="D13" s="55" t="s">
        <v>90</v>
      </c>
      <c r="E13" s="56" t="s">
        <v>181</v>
      </c>
      <c r="F13" s="50">
        <v>3.9</v>
      </c>
      <c r="G13" s="57">
        <v>0.03</v>
      </c>
      <c r="H13" s="57">
        <f>HLOOKUP(G13,BDI!$C$19:$I$30,12,)</f>
        <v>0.2979</v>
      </c>
      <c r="I13" s="52">
        <v>1041.3699999999999</v>
      </c>
      <c r="J13" s="52">
        <v>371.92</v>
      </c>
      <c r="K13" s="52">
        <v>483.13</v>
      </c>
      <c r="L13" s="52">
        <v>186.32</v>
      </c>
      <c r="M13" s="52" t="s">
        <v>172</v>
      </c>
      <c r="N13" s="52" t="s">
        <v>173</v>
      </c>
    </row>
    <row r="14" spans="2:14" ht="18" customHeight="1">
      <c r="B14" s="11" t="s">
        <v>19</v>
      </c>
      <c r="C14" s="11" t="s">
        <v>19</v>
      </c>
      <c r="D14" s="55" t="s">
        <v>92</v>
      </c>
      <c r="E14" s="56" t="s">
        <v>182</v>
      </c>
      <c r="F14" s="50">
        <v>0</v>
      </c>
      <c r="G14" s="57">
        <v>3.5000000000000003E-2</v>
      </c>
      <c r="H14" s="57">
        <f>HLOOKUP(G14,BDI!$C$19:$I$30,12,)</f>
        <v>0.30530000000000002</v>
      </c>
      <c r="I14" s="52">
        <v>3230.72</v>
      </c>
      <c r="J14" s="52">
        <v>1889.72</v>
      </c>
      <c r="K14" s="52">
        <v>1225.83</v>
      </c>
      <c r="L14" s="52">
        <v>115.17</v>
      </c>
      <c r="M14" s="52" t="s">
        <v>172</v>
      </c>
      <c r="N14" s="52" t="s">
        <v>173</v>
      </c>
    </row>
    <row r="15" spans="2:14" ht="18" customHeight="1">
      <c r="B15" s="11" t="s">
        <v>183</v>
      </c>
      <c r="C15" s="11" t="s">
        <v>19</v>
      </c>
      <c r="D15" s="55" t="s">
        <v>93</v>
      </c>
      <c r="E15" s="56" t="s">
        <v>184</v>
      </c>
      <c r="F15" s="50">
        <v>6.17</v>
      </c>
      <c r="G15" s="57">
        <v>0.03</v>
      </c>
      <c r="H15" s="57">
        <f>HLOOKUP(G15,BDI!$C$19:$I$30,12,)</f>
        <v>0.2979</v>
      </c>
      <c r="I15" s="52">
        <v>1614.75</v>
      </c>
      <c r="J15" s="52">
        <v>801.07</v>
      </c>
      <c r="K15" s="52">
        <v>813.68</v>
      </c>
      <c r="L15" s="52">
        <v>0</v>
      </c>
      <c r="M15" s="52" t="s">
        <v>172</v>
      </c>
      <c r="N15" s="52" t="s">
        <v>173</v>
      </c>
    </row>
    <row r="16" spans="2:14" ht="18" customHeight="1">
      <c r="B16" s="11" t="s">
        <v>183</v>
      </c>
      <c r="C16" s="11" t="s">
        <v>19</v>
      </c>
      <c r="D16" s="55" t="s">
        <v>94</v>
      </c>
      <c r="E16" s="56" t="s">
        <v>185</v>
      </c>
      <c r="F16" s="50">
        <v>6.5</v>
      </c>
      <c r="G16" s="57">
        <v>2.5000000000000001E-2</v>
      </c>
      <c r="H16" s="57">
        <f>HLOOKUP(G16,BDI!$C$19:$I$30,12,)</f>
        <v>0.29070000000000001</v>
      </c>
      <c r="I16" s="52">
        <v>1259.19</v>
      </c>
      <c r="J16" s="52">
        <v>544.01</v>
      </c>
      <c r="K16" s="52">
        <v>715.18</v>
      </c>
      <c r="L16" s="52">
        <v>0</v>
      </c>
      <c r="M16" s="52" t="s">
        <v>172</v>
      </c>
      <c r="N16" s="52" t="s">
        <v>173</v>
      </c>
    </row>
    <row r="17" spans="2:14" ht="18" customHeight="1">
      <c r="B17" s="11" t="s">
        <v>183</v>
      </c>
      <c r="C17" s="11" t="s">
        <v>19</v>
      </c>
      <c r="D17" s="55" t="s">
        <v>95</v>
      </c>
      <c r="E17" s="56" t="s">
        <v>186</v>
      </c>
      <c r="F17" s="50">
        <v>8.27</v>
      </c>
      <c r="G17" s="57">
        <v>0.02</v>
      </c>
      <c r="H17" s="57">
        <f>HLOOKUP(G17,BDI!$C$19:$I$30,12,)</f>
        <v>0.28349999999999997</v>
      </c>
      <c r="I17" s="52">
        <v>334.4</v>
      </c>
      <c r="J17" s="52">
        <v>296</v>
      </c>
      <c r="K17" s="52">
        <v>38.4</v>
      </c>
      <c r="L17" s="52">
        <v>0</v>
      </c>
      <c r="M17" s="52" t="s">
        <v>172</v>
      </c>
      <c r="N17" s="52" t="s">
        <v>172</v>
      </c>
    </row>
    <row r="18" spans="2:14" ht="18" customHeight="1">
      <c r="B18" s="11" t="s">
        <v>183</v>
      </c>
      <c r="C18" s="11" t="s">
        <v>19</v>
      </c>
      <c r="D18" s="55" t="s">
        <v>96</v>
      </c>
      <c r="E18" s="56" t="s">
        <v>187</v>
      </c>
      <c r="F18" s="50">
        <v>3.73</v>
      </c>
      <c r="G18" s="57">
        <v>0.03</v>
      </c>
      <c r="H18" s="57">
        <f>HLOOKUP(G18,BDI!$C$19:$I$30,12,)</f>
        <v>0.2979</v>
      </c>
      <c r="I18" s="52">
        <v>1251.03</v>
      </c>
      <c r="J18" s="52">
        <v>408.61</v>
      </c>
      <c r="K18" s="52">
        <v>215.19</v>
      </c>
      <c r="L18" s="52">
        <v>627.23</v>
      </c>
      <c r="M18" s="52" t="s">
        <v>172</v>
      </c>
      <c r="N18" s="52" t="s">
        <v>173</v>
      </c>
    </row>
    <row r="19" spans="2:14" ht="18" customHeight="1">
      <c r="B19" s="11" t="s">
        <v>183</v>
      </c>
      <c r="C19" s="11" t="s">
        <v>19</v>
      </c>
      <c r="D19" s="55" t="s">
        <v>97</v>
      </c>
      <c r="E19" s="56" t="s">
        <v>188</v>
      </c>
      <c r="F19" s="50">
        <v>6.13</v>
      </c>
      <c r="G19" s="57">
        <v>0.03</v>
      </c>
      <c r="H19" s="57">
        <f>HLOOKUP(G19,BDI!$C$19:$I$30,12,)</f>
        <v>0.2979</v>
      </c>
      <c r="I19" s="52">
        <v>1453.17</v>
      </c>
      <c r="J19" s="52">
        <v>1010.64</v>
      </c>
      <c r="K19" s="52">
        <v>442.53</v>
      </c>
      <c r="L19" s="52">
        <v>0</v>
      </c>
      <c r="M19" s="52" t="s">
        <v>172</v>
      </c>
      <c r="N19" s="52" t="s">
        <v>173</v>
      </c>
    </row>
    <row r="20" spans="2:14" ht="18" customHeight="1">
      <c r="B20" s="11" t="s">
        <v>183</v>
      </c>
      <c r="C20" s="11" t="s">
        <v>19</v>
      </c>
      <c r="D20" s="55" t="s">
        <v>98</v>
      </c>
      <c r="E20" s="56" t="s">
        <v>189</v>
      </c>
      <c r="F20" s="50">
        <v>4.2</v>
      </c>
      <c r="G20" s="57">
        <v>0.03</v>
      </c>
      <c r="H20" s="57">
        <f>HLOOKUP(G20,BDI!$C$19:$I$30,12,)</f>
        <v>0.2979</v>
      </c>
      <c r="I20" s="52">
        <v>1836.21</v>
      </c>
      <c r="J20" s="52">
        <v>727.17</v>
      </c>
      <c r="K20" s="52">
        <v>986.74</v>
      </c>
      <c r="L20" s="52">
        <v>122.3</v>
      </c>
      <c r="M20" s="52" t="s">
        <v>172</v>
      </c>
      <c r="N20" s="52" t="s">
        <v>173</v>
      </c>
    </row>
    <row r="21" spans="2:14" ht="18" customHeight="1">
      <c r="B21" s="11" t="s">
        <v>183</v>
      </c>
      <c r="C21" s="11" t="s">
        <v>19</v>
      </c>
      <c r="D21" s="55" t="s">
        <v>99</v>
      </c>
      <c r="E21" s="56" t="s">
        <v>190</v>
      </c>
      <c r="F21" s="50">
        <v>9.43</v>
      </c>
      <c r="G21" s="57">
        <v>0.05</v>
      </c>
      <c r="H21" s="57">
        <f>HLOOKUP(G21,BDI!$C$19:$I$30,12,)</f>
        <v>0.32779999999999998</v>
      </c>
      <c r="I21" s="52">
        <v>1684.94</v>
      </c>
      <c r="J21" s="52">
        <v>1167.79</v>
      </c>
      <c r="K21" s="52">
        <v>337.55</v>
      </c>
      <c r="L21" s="52">
        <v>179.6</v>
      </c>
      <c r="M21" s="52" t="s">
        <v>172</v>
      </c>
      <c r="N21" s="52" t="s">
        <v>173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37"/>
  <sheetViews>
    <sheetView showGridLines="0" zoomScale="110" zoomScaleNormal="110" workbookViewId="0">
      <selection activeCell="N36" sqref="N36"/>
    </sheetView>
  </sheetViews>
  <sheetFormatPr defaultRowHeight="14.25"/>
  <cols>
    <col min="1" max="1" width="5.625" customWidth="1"/>
    <col min="2" max="2" width="10.625" style="46" customWidth="1"/>
    <col min="3" max="3" width="35.625" style="26" customWidth="1"/>
    <col min="4" max="1022" width="10.375" customWidth="1"/>
  </cols>
  <sheetData>
    <row r="1" spans="2:10" ht="15" customHeight="1"/>
    <row r="2" spans="2:10" ht="20.100000000000001" customHeight="1">
      <c r="B2" s="291" t="s">
        <v>191</v>
      </c>
      <c r="C2" s="292"/>
      <c r="D2" s="292"/>
      <c r="E2" s="292"/>
      <c r="F2" s="292"/>
      <c r="G2" s="292"/>
      <c r="H2" s="292"/>
      <c r="I2" s="292"/>
      <c r="J2" s="293"/>
    </row>
    <row r="3" spans="2:10" ht="20.100000000000001" customHeight="1">
      <c r="B3" s="294" t="str">
        <f>'Valor da Contratação'!B8</f>
        <v>DESONERADA</v>
      </c>
      <c r="C3" s="295"/>
      <c r="D3" s="295"/>
      <c r="E3" s="295"/>
      <c r="F3" s="295"/>
      <c r="G3" s="295"/>
      <c r="H3" s="295"/>
      <c r="I3" s="295"/>
      <c r="J3" s="296"/>
    </row>
    <row r="4" spans="2:10" ht="15" customHeight="1">
      <c r="B4" s="47"/>
      <c r="C4" s="47"/>
      <c r="D4" s="9"/>
    </row>
    <row r="5" spans="2:10" ht="15" customHeight="1">
      <c r="B5" s="297" t="s">
        <v>192</v>
      </c>
      <c r="C5" s="298"/>
      <c r="D5" s="298"/>
      <c r="E5" s="298"/>
      <c r="F5" s="298"/>
      <c r="G5" s="298"/>
      <c r="H5" s="298"/>
      <c r="I5" s="298"/>
      <c r="J5" s="299"/>
    </row>
    <row r="6" spans="2:10" ht="15" customHeight="1">
      <c r="B6" s="73"/>
      <c r="C6" s="5"/>
      <c r="D6" s="54"/>
      <c r="E6" s="54"/>
      <c r="J6" s="74"/>
    </row>
    <row r="7" spans="2:10" ht="15" customHeight="1">
      <c r="B7" s="300" t="s">
        <v>193</v>
      </c>
      <c r="C7" s="301"/>
      <c r="D7" s="301"/>
      <c r="E7" s="301"/>
      <c r="F7" s="301"/>
      <c r="G7" s="301"/>
      <c r="H7" s="301"/>
      <c r="I7" s="301"/>
      <c r="J7" s="302"/>
    </row>
    <row r="8" spans="2:10" ht="15" customHeight="1">
      <c r="B8" s="75"/>
      <c r="C8" s="144"/>
      <c r="D8" s="54"/>
      <c r="E8" s="54"/>
      <c r="J8" s="74"/>
    </row>
    <row r="9" spans="2:10" ht="15" customHeight="1">
      <c r="B9" s="303" t="s">
        <v>194</v>
      </c>
      <c r="C9" s="304"/>
      <c r="D9" s="304"/>
      <c r="E9" s="304"/>
      <c r="F9" s="304"/>
      <c r="G9" s="304"/>
      <c r="H9" s="304"/>
      <c r="I9" s="304"/>
      <c r="J9" s="305"/>
    </row>
    <row r="10" spans="2:10" ht="15" customHeight="1">
      <c r="B10" s="288" t="s">
        <v>195</v>
      </c>
      <c r="C10" s="289"/>
      <c r="D10" s="289"/>
      <c r="E10" s="289"/>
      <c r="F10" s="289"/>
      <c r="G10" s="289"/>
      <c r="H10" s="289"/>
      <c r="I10" s="289"/>
      <c r="J10" s="290"/>
    </row>
    <row r="11" spans="2:10" ht="15" customHeight="1">
      <c r="B11" s="288" t="s">
        <v>196</v>
      </c>
      <c r="C11" s="289"/>
      <c r="D11" s="289"/>
      <c r="E11" s="289"/>
      <c r="F11" s="289"/>
      <c r="G11" s="289"/>
      <c r="H11" s="289"/>
      <c r="I11" s="289"/>
      <c r="J11" s="290"/>
    </row>
    <row r="12" spans="2:10" ht="15" customHeight="1">
      <c r="B12" s="288" t="s">
        <v>197</v>
      </c>
      <c r="C12" s="289"/>
      <c r="D12" s="289"/>
      <c r="E12" s="289"/>
      <c r="F12" s="289"/>
      <c r="G12" s="289"/>
      <c r="H12" s="289"/>
      <c r="I12" s="289"/>
      <c r="J12" s="290"/>
    </row>
    <row r="13" spans="2:10" ht="15" customHeight="1">
      <c r="B13" s="288" t="s">
        <v>198</v>
      </c>
      <c r="C13" s="289"/>
      <c r="D13" s="289"/>
      <c r="E13" s="289"/>
      <c r="F13" s="289"/>
      <c r="G13" s="289"/>
      <c r="H13" s="289"/>
      <c r="I13" s="289"/>
      <c r="J13" s="290"/>
    </row>
    <row r="14" spans="2:10" ht="15" customHeight="1">
      <c r="B14" s="288" t="s">
        <v>199</v>
      </c>
      <c r="C14" s="289"/>
      <c r="D14" s="289"/>
      <c r="E14" s="289"/>
      <c r="F14" s="289"/>
      <c r="G14" s="289"/>
      <c r="H14" s="289"/>
      <c r="I14" s="289"/>
      <c r="J14" s="290"/>
    </row>
    <row r="15" spans="2:10" ht="15" customHeight="1">
      <c r="B15" s="288" t="s">
        <v>200</v>
      </c>
      <c r="C15" s="289"/>
      <c r="D15" s="289"/>
      <c r="E15" s="289"/>
      <c r="F15" s="289"/>
      <c r="G15" s="289"/>
      <c r="H15" s="289"/>
      <c r="I15" s="289"/>
      <c r="J15" s="290"/>
    </row>
    <row r="16" spans="2:10" ht="15" customHeight="1">
      <c r="B16" s="306" t="s">
        <v>201</v>
      </c>
      <c r="C16" s="307"/>
      <c r="D16" s="307"/>
      <c r="E16" s="307"/>
      <c r="F16" s="307"/>
      <c r="G16" s="307"/>
      <c r="H16" s="307"/>
      <c r="I16" s="307"/>
      <c r="J16" s="308"/>
    </row>
    <row r="17" spans="2:10" ht="24.95" customHeight="1">
      <c r="C17" s="46"/>
      <c r="D17" s="9"/>
    </row>
    <row r="18" spans="2:10" ht="17.100000000000001" customHeight="1">
      <c r="B18" s="309" t="s">
        <v>202</v>
      </c>
      <c r="C18" s="310"/>
      <c r="D18" s="129" t="s">
        <v>163</v>
      </c>
      <c r="E18" s="129" t="s">
        <v>163</v>
      </c>
      <c r="F18" s="129" t="s">
        <v>163</v>
      </c>
      <c r="G18" s="128" t="s">
        <v>163</v>
      </c>
      <c r="H18" s="130" t="s">
        <v>163</v>
      </c>
      <c r="I18" s="130" t="s">
        <v>163</v>
      </c>
      <c r="J18" s="130" t="s">
        <v>163</v>
      </c>
    </row>
    <row r="19" spans="2:10" ht="17.100000000000001" customHeight="1">
      <c r="B19" s="311"/>
      <c r="C19" s="312"/>
      <c r="D19" s="131">
        <v>0.05</v>
      </c>
      <c r="E19" s="131">
        <v>0.04</v>
      </c>
      <c r="F19" s="131">
        <v>3.5000000000000003E-2</v>
      </c>
      <c r="G19" s="132">
        <v>0.03</v>
      </c>
      <c r="H19" s="133">
        <v>2.5000000000000001E-2</v>
      </c>
      <c r="I19" s="133">
        <v>0.02</v>
      </c>
      <c r="J19" s="133">
        <v>1.4999999999999999E-2</v>
      </c>
    </row>
    <row r="20" spans="2:10" ht="17.100000000000001" customHeight="1">
      <c r="B20" s="69" t="s">
        <v>203</v>
      </c>
      <c r="C20" s="145" t="s">
        <v>204</v>
      </c>
      <c r="D20" s="127">
        <v>0.04</v>
      </c>
      <c r="E20" s="127">
        <v>0.04</v>
      </c>
      <c r="F20" s="127">
        <v>0.04</v>
      </c>
      <c r="G20" s="127">
        <v>0.04</v>
      </c>
      <c r="H20" s="127">
        <v>0.04</v>
      </c>
      <c r="I20" s="127">
        <v>0.04</v>
      </c>
      <c r="J20" s="127">
        <v>0.04</v>
      </c>
    </row>
    <row r="21" spans="2:10" ht="17.100000000000001" customHeight="1">
      <c r="B21" s="69" t="s">
        <v>205</v>
      </c>
      <c r="C21" s="11" t="s">
        <v>206</v>
      </c>
      <c r="D21" s="59">
        <v>1.23E-2</v>
      </c>
      <c r="E21" s="59">
        <v>1.23E-2</v>
      </c>
      <c r="F21" s="59">
        <v>1.23E-2</v>
      </c>
      <c r="G21" s="59">
        <v>1.23E-2</v>
      </c>
      <c r="H21" s="59">
        <v>1.23E-2</v>
      </c>
      <c r="I21" s="59">
        <v>1.23E-2</v>
      </c>
      <c r="J21" s="59">
        <v>1.23E-2</v>
      </c>
    </row>
    <row r="22" spans="2:10" ht="17.100000000000001" customHeight="1">
      <c r="B22" s="69" t="s">
        <v>207</v>
      </c>
      <c r="C22" s="11" t="s">
        <v>208</v>
      </c>
      <c r="D22" s="59">
        <v>8.0000000000000002E-3</v>
      </c>
      <c r="E22" s="59">
        <v>8.0000000000000002E-3</v>
      </c>
      <c r="F22" s="59">
        <v>8.0000000000000002E-3</v>
      </c>
      <c r="G22" s="59">
        <v>8.0000000000000002E-3</v>
      </c>
      <c r="H22" s="59">
        <v>8.0000000000000002E-3</v>
      </c>
      <c r="I22" s="59">
        <v>8.0000000000000002E-3</v>
      </c>
      <c r="J22" s="59">
        <v>8.0000000000000002E-3</v>
      </c>
    </row>
    <row r="23" spans="2:10" ht="17.100000000000001" customHeight="1">
      <c r="B23" s="69" t="s">
        <v>209</v>
      </c>
      <c r="C23" s="11" t="s">
        <v>210</v>
      </c>
      <c r="D23" s="59">
        <v>1.2699999999999999E-2</v>
      </c>
      <c r="E23" s="59">
        <v>1.2699999999999999E-2</v>
      </c>
      <c r="F23" s="59">
        <v>1.2699999999999999E-2</v>
      </c>
      <c r="G23" s="59">
        <v>1.2699999999999999E-2</v>
      </c>
      <c r="H23" s="59">
        <v>1.2699999999999999E-2</v>
      </c>
      <c r="I23" s="59">
        <v>1.2699999999999999E-2</v>
      </c>
      <c r="J23" s="59">
        <v>1.2699999999999999E-2</v>
      </c>
    </row>
    <row r="24" spans="2:10" ht="17.100000000000001" customHeight="1">
      <c r="B24" s="69" t="s">
        <v>211</v>
      </c>
      <c r="C24" s="11" t="s">
        <v>212</v>
      </c>
      <c r="D24" s="59">
        <v>7.3999999999999996E-2</v>
      </c>
      <c r="E24" s="59">
        <v>7.3999999999999996E-2</v>
      </c>
      <c r="F24" s="59">
        <v>7.3999999999999996E-2</v>
      </c>
      <c r="G24" s="59">
        <v>7.3999999999999996E-2</v>
      </c>
      <c r="H24" s="59">
        <v>7.3999999999999996E-2</v>
      </c>
      <c r="I24" s="59">
        <v>7.3999999999999996E-2</v>
      </c>
      <c r="J24" s="59">
        <v>7.3999999999999996E-2</v>
      </c>
    </row>
    <row r="25" spans="2:10" ht="17.100000000000001" customHeight="1">
      <c r="B25" s="313" t="s">
        <v>213</v>
      </c>
      <c r="C25" s="11" t="s">
        <v>214</v>
      </c>
      <c r="D25" s="59">
        <v>6.4999999999999997E-3</v>
      </c>
      <c r="E25" s="59">
        <v>6.4999999999999997E-3</v>
      </c>
      <c r="F25" s="59">
        <v>6.4999999999999997E-3</v>
      </c>
      <c r="G25" s="59">
        <v>6.4999999999999997E-3</v>
      </c>
      <c r="H25" s="59">
        <v>6.4999999999999997E-3</v>
      </c>
      <c r="I25" s="59">
        <v>6.4999999999999997E-3</v>
      </c>
      <c r="J25" s="59">
        <v>6.4999999999999997E-3</v>
      </c>
    </row>
    <row r="26" spans="2:10" ht="17.100000000000001" customHeight="1">
      <c r="B26" s="313"/>
      <c r="C26" s="69" t="s">
        <v>215</v>
      </c>
      <c r="D26" s="60">
        <v>0.03</v>
      </c>
      <c r="E26" s="60">
        <v>0.03</v>
      </c>
      <c r="F26" s="60">
        <v>0.03</v>
      </c>
      <c r="G26" s="60">
        <v>0.03</v>
      </c>
      <c r="H26" s="60">
        <v>0.03</v>
      </c>
      <c r="I26" s="60">
        <v>0.03</v>
      </c>
      <c r="J26" s="60">
        <v>0.03</v>
      </c>
    </row>
    <row r="27" spans="2:10" ht="17.100000000000001" customHeight="1">
      <c r="B27" s="313"/>
      <c r="C27" s="69" t="s">
        <v>163</v>
      </c>
      <c r="D27" s="60">
        <v>0.05</v>
      </c>
      <c r="E27" s="60">
        <v>0.04</v>
      </c>
      <c r="F27" s="59">
        <v>3.5000000000000003E-2</v>
      </c>
      <c r="G27" s="60">
        <v>0.03</v>
      </c>
      <c r="H27" s="60">
        <v>2.5000000000000001E-2</v>
      </c>
      <c r="I27" s="60">
        <v>0.02</v>
      </c>
      <c r="J27" s="59">
        <v>1.4999999999999999E-2</v>
      </c>
    </row>
    <row r="28" spans="2:10" ht="17.100000000000001" customHeight="1">
      <c r="B28" s="313"/>
      <c r="C28" s="69" t="s">
        <v>216</v>
      </c>
      <c r="D28" s="60">
        <v>4.4999999999999998E-2</v>
      </c>
      <c r="E28" s="60">
        <v>4.4999999999999998E-2</v>
      </c>
      <c r="F28" s="60">
        <v>4.4999999999999998E-2</v>
      </c>
      <c r="G28" s="60">
        <v>4.4999999999999998E-2</v>
      </c>
      <c r="H28" s="60">
        <v>4.4999999999999998E-2</v>
      </c>
      <c r="I28" s="60">
        <v>4.4999999999999998E-2</v>
      </c>
      <c r="J28" s="60">
        <v>4.4999999999999998E-2</v>
      </c>
    </row>
    <row r="29" spans="2:10" ht="20.100000000000001" customHeight="1">
      <c r="B29" s="314" t="s">
        <v>217</v>
      </c>
      <c r="C29" s="315"/>
      <c r="D29" s="146">
        <f>(((1+D22+D20+D23)*(1+D21)*(1+D24))/(1-(D25+D26+D27+D28))-1)</f>
        <v>0.327811006493955</v>
      </c>
      <c r="E29" s="146">
        <f t="shared" ref="E29:J29" si="0">(((1+E22+E20+E23)*(1+E21)*(1+E24))/(1-(E25+E26+E27+E28))-1)</f>
        <v>0.31269648166192376</v>
      </c>
      <c r="F29" s="146">
        <f t="shared" si="0"/>
        <v>0.30526752590831929</v>
      </c>
      <c r="G29" s="146">
        <f t="shared" si="0"/>
        <v>0.29792218248733837</v>
      </c>
      <c r="H29" s="146">
        <f t="shared" si="0"/>
        <v>0.29065904772244</v>
      </c>
      <c r="I29" s="146">
        <f t="shared" si="0"/>
        <v>0.28347674918197008</v>
      </c>
      <c r="J29" s="146">
        <f t="shared" si="0"/>
        <v>0.27637394481460986</v>
      </c>
    </row>
    <row r="30" spans="2:10" ht="20.100000000000001" customHeight="1">
      <c r="B30" s="316" t="s">
        <v>218</v>
      </c>
      <c r="C30" s="317"/>
      <c r="D30" s="68">
        <f t="shared" ref="D30:J30" si="1">ROUND(D29,4)</f>
        <v>0.32779999999999998</v>
      </c>
      <c r="E30" s="68">
        <f t="shared" si="1"/>
        <v>0.31269999999999998</v>
      </c>
      <c r="F30" s="68">
        <f t="shared" si="1"/>
        <v>0.30530000000000002</v>
      </c>
      <c r="G30" s="68">
        <f t="shared" si="1"/>
        <v>0.2979</v>
      </c>
      <c r="H30" s="68">
        <f t="shared" si="1"/>
        <v>0.29070000000000001</v>
      </c>
      <c r="I30" s="68">
        <f t="shared" si="1"/>
        <v>0.28349999999999997</v>
      </c>
      <c r="J30" s="68">
        <f t="shared" si="1"/>
        <v>0.27639999999999998</v>
      </c>
    </row>
    <row r="31" spans="2:10" ht="20.100000000000001" customHeight="1">
      <c r="B31" s="43"/>
      <c r="C31" s="43"/>
      <c r="D31" s="36"/>
      <c r="E31" s="36"/>
      <c r="F31" s="36"/>
      <c r="G31" s="36"/>
      <c r="H31" s="36"/>
      <c r="I31" s="36"/>
      <c r="J31" s="36"/>
    </row>
    <row r="32" spans="2:10" ht="17.100000000000001" customHeight="1">
      <c r="B32" s="309" t="s">
        <v>219</v>
      </c>
      <c r="C32" s="310"/>
      <c r="D32" s="129" t="s">
        <v>163</v>
      </c>
      <c r="E32" s="129" t="s">
        <v>163</v>
      </c>
      <c r="F32" s="129" t="s">
        <v>163</v>
      </c>
      <c r="G32" s="128" t="s">
        <v>163</v>
      </c>
      <c r="H32" s="130" t="s">
        <v>163</v>
      </c>
      <c r="I32" s="130" t="s">
        <v>163</v>
      </c>
      <c r="J32" s="130" t="s">
        <v>163</v>
      </c>
    </row>
    <row r="33" spans="2:10" ht="17.100000000000001" customHeight="1">
      <c r="B33" s="311"/>
      <c r="C33" s="312"/>
      <c r="D33" s="131">
        <v>0.05</v>
      </c>
      <c r="E33" s="131">
        <v>0.04</v>
      </c>
      <c r="F33" s="131">
        <v>3.5000000000000003E-2</v>
      </c>
      <c r="G33" s="132">
        <v>0.03</v>
      </c>
      <c r="H33" s="133">
        <v>2.5000000000000001E-2</v>
      </c>
      <c r="I33" s="133">
        <v>0.02</v>
      </c>
      <c r="J33" s="133">
        <v>1.4999999999999999E-2</v>
      </c>
    </row>
    <row r="34" spans="2:10" ht="17.100000000000001" customHeight="1">
      <c r="B34" s="69" t="s">
        <v>203</v>
      </c>
      <c r="C34" s="145" t="s">
        <v>204</v>
      </c>
      <c r="D34" s="59">
        <v>3.4500000000000003E-2</v>
      </c>
      <c r="E34" s="59">
        <v>3.4500000000000003E-2</v>
      </c>
      <c r="F34" s="59">
        <v>3.4500000000000003E-2</v>
      </c>
      <c r="G34" s="59">
        <v>3.4500000000000003E-2</v>
      </c>
      <c r="H34" s="59">
        <v>3.4500000000000003E-2</v>
      </c>
      <c r="I34" s="59">
        <v>3.4500000000000003E-2</v>
      </c>
      <c r="J34" s="59">
        <v>3.4500000000000003E-2</v>
      </c>
    </row>
    <row r="35" spans="2:10" ht="17.100000000000001" customHeight="1">
      <c r="B35" s="69" t="s">
        <v>205</v>
      </c>
      <c r="C35" s="11" t="s">
        <v>206</v>
      </c>
      <c r="D35" s="59">
        <v>8.5000000000000006E-3</v>
      </c>
      <c r="E35" s="59">
        <v>8.5000000000000006E-3</v>
      </c>
      <c r="F35" s="59">
        <v>8.5000000000000006E-3</v>
      </c>
      <c r="G35" s="59">
        <v>8.5000000000000006E-3</v>
      </c>
      <c r="H35" s="59">
        <v>8.5000000000000006E-3</v>
      </c>
      <c r="I35" s="59">
        <v>8.5000000000000006E-3</v>
      </c>
      <c r="J35" s="59">
        <v>8.5000000000000006E-3</v>
      </c>
    </row>
    <row r="36" spans="2:10" ht="17.100000000000001" customHeight="1">
      <c r="B36" s="69" t="s">
        <v>207</v>
      </c>
      <c r="C36" s="11" t="s">
        <v>208</v>
      </c>
      <c r="D36" s="59">
        <v>4.7999999999999996E-3</v>
      </c>
      <c r="E36" s="59">
        <v>4.7999999999999996E-3</v>
      </c>
      <c r="F36" s="59">
        <v>4.7999999999999996E-3</v>
      </c>
      <c r="G36" s="59">
        <v>4.7999999999999996E-3</v>
      </c>
      <c r="H36" s="59">
        <v>4.7999999999999996E-3</v>
      </c>
      <c r="I36" s="59">
        <v>4.7999999999999996E-3</v>
      </c>
      <c r="J36" s="59">
        <v>4.7999999999999996E-3</v>
      </c>
    </row>
    <row r="37" spans="2:10" ht="17.100000000000001" customHeight="1">
      <c r="B37" s="69" t="s">
        <v>209</v>
      </c>
      <c r="C37" s="11" t="s">
        <v>210</v>
      </c>
      <c r="D37" s="59">
        <v>8.5000000000000006E-3</v>
      </c>
      <c r="E37" s="59">
        <v>8.5000000000000006E-3</v>
      </c>
      <c r="F37" s="59">
        <v>8.5000000000000006E-3</v>
      </c>
      <c r="G37" s="59">
        <v>8.5000000000000006E-3</v>
      </c>
      <c r="H37" s="59">
        <v>8.5000000000000006E-3</v>
      </c>
      <c r="I37" s="59">
        <v>8.5000000000000006E-3</v>
      </c>
      <c r="J37" s="59">
        <v>8.5000000000000006E-3</v>
      </c>
    </row>
    <row r="38" spans="2:10" ht="17.100000000000001" customHeight="1">
      <c r="B38" s="69" t="s">
        <v>211</v>
      </c>
      <c r="C38" s="11" t="s">
        <v>212</v>
      </c>
      <c r="D38" s="59">
        <v>5.11E-2</v>
      </c>
      <c r="E38" s="59">
        <v>5.11E-2</v>
      </c>
      <c r="F38" s="59">
        <v>5.11E-2</v>
      </c>
      <c r="G38" s="59">
        <v>5.11E-2</v>
      </c>
      <c r="H38" s="59">
        <v>5.11E-2</v>
      </c>
      <c r="I38" s="59">
        <v>5.11E-2</v>
      </c>
      <c r="J38" s="59">
        <v>5.11E-2</v>
      </c>
    </row>
    <row r="39" spans="2:10" ht="17.100000000000001" customHeight="1">
      <c r="B39" s="313" t="s">
        <v>213</v>
      </c>
      <c r="C39" s="11" t="s">
        <v>214</v>
      </c>
      <c r="D39" s="59">
        <v>6.4999999999999997E-3</v>
      </c>
      <c r="E39" s="59">
        <v>6.4999999999999997E-3</v>
      </c>
      <c r="F39" s="59">
        <v>6.4999999999999997E-3</v>
      </c>
      <c r="G39" s="59">
        <v>6.4999999999999997E-3</v>
      </c>
      <c r="H39" s="59">
        <v>6.4999999999999997E-3</v>
      </c>
      <c r="I39" s="59">
        <v>6.4999999999999997E-3</v>
      </c>
      <c r="J39" s="59">
        <v>6.4999999999999997E-3</v>
      </c>
    </row>
    <row r="40" spans="2:10" ht="17.100000000000001" customHeight="1">
      <c r="B40" s="313"/>
      <c r="C40" s="69" t="s">
        <v>215</v>
      </c>
      <c r="D40" s="60">
        <v>0.03</v>
      </c>
      <c r="E40" s="60">
        <v>0.03</v>
      </c>
      <c r="F40" s="60">
        <v>0.03</v>
      </c>
      <c r="G40" s="60">
        <v>0.03</v>
      </c>
      <c r="H40" s="60">
        <v>0.03</v>
      </c>
      <c r="I40" s="60">
        <v>0.03</v>
      </c>
      <c r="J40" s="60">
        <v>0.03</v>
      </c>
    </row>
    <row r="41" spans="2:10" ht="17.100000000000001" customHeight="1">
      <c r="B41" s="313"/>
      <c r="C41" s="69" t="s">
        <v>163</v>
      </c>
      <c r="D41" s="60">
        <v>0</v>
      </c>
      <c r="E41" s="60">
        <v>0</v>
      </c>
      <c r="F41" s="59">
        <v>0</v>
      </c>
      <c r="G41" s="60">
        <v>0</v>
      </c>
      <c r="H41" s="60">
        <v>0</v>
      </c>
      <c r="I41" s="60">
        <v>0</v>
      </c>
      <c r="J41" s="59">
        <v>0</v>
      </c>
    </row>
    <row r="42" spans="2:10" ht="17.100000000000001" customHeight="1">
      <c r="B42" s="313"/>
      <c r="C42" s="69" t="s">
        <v>216</v>
      </c>
      <c r="D42" s="60">
        <v>4.4999999999999998E-2</v>
      </c>
      <c r="E42" s="60">
        <v>4.4999999999999998E-2</v>
      </c>
      <c r="F42" s="60">
        <v>4.4999999999999998E-2</v>
      </c>
      <c r="G42" s="60">
        <v>4.4999999999999998E-2</v>
      </c>
      <c r="H42" s="60">
        <v>4.4999999999999998E-2</v>
      </c>
      <c r="I42" s="60">
        <v>4.4999999999999998E-2</v>
      </c>
      <c r="J42" s="60">
        <v>4.4999999999999998E-2</v>
      </c>
    </row>
    <row r="43" spans="2:10" ht="20.100000000000001" customHeight="1">
      <c r="B43" s="318" t="s">
        <v>217</v>
      </c>
      <c r="C43" s="319"/>
      <c r="D43" s="146">
        <f>(((1+D36+D34+D37)*(1+D35)*(1+D38))/(1-(D39+D40+D41+D42))-1)</f>
        <v>0.20925856497550321</v>
      </c>
      <c r="E43" s="146">
        <f t="shared" ref="E43:J43" si="2">(((1+E36+E34+E37)*(1+E35)*(1+E38))/(1-(E39+E40+E41+E42))-1)</f>
        <v>0.20925856497550321</v>
      </c>
      <c r="F43" s="146">
        <f t="shared" si="2"/>
        <v>0.20925856497550321</v>
      </c>
      <c r="G43" s="146">
        <f t="shared" si="2"/>
        <v>0.20925856497550321</v>
      </c>
      <c r="H43" s="146">
        <f t="shared" si="2"/>
        <v>0.20925856497550321</v>
      </c>
      <c r="I43" s="146">
        <f t="shared" si="2"/>
        <v>0.20925856497550321</v>
      </c>
      <c r="J43" s="146">
        <f t="shared" si="2"/>
        <v>0.20925856497550321</v>
      </c>
    </row>
    <row r="44" spans="2:10" ht="20.100000000000001" customHeight="1">
      <c r="B44" s="320" t="s">
        <v>218</v>
      </c>
      <c r="C44" s="321"/>
      <c r="D44" s="68">
        <f t="shared" ref="D44:J44" si="3">ROUND(D43,4)</f>
        <v>0.20930000000000001</v>
      </c>
      <c r="E44" s="68">
        <f t="shared" si="3"/>
        <v>0.20930000000000001</v>
      </c>
      <c r="F44" s="68">
        <f t="shared" si="3"/>
        <v>0.20930000000000001</v>
      </c>
      <c r="G44" s="68">
        <f t="shared" si="3"/>
        <v>0.20930000000000001</v>
      </c>
      <c r="H44" s="68">
        <f t="shared" si="3"/>
        <v>0.20930000000000001</v>
      </c>
      <c r="I44" s="68">
        <f t="shared" si="3"/>
        <v>0.20930000000000001</v>
      </c>
      <c r="J44" s="68">
        <f t="shared" si="3"/>
        <v>0.20930000000000001</v>
      </c>
    </row>
    <row r="65536" ht="12.75" customHeight="1"/>
    <row r="65537" ht="12.75" customHeight="1"/>
  </sheetData>
  <mergeCells count="20">
    <mergeCell ref="B30:C30"/>
    <mergeCell ref="B32:C33"/>
    <mergeCell ref="B39:B42"/>
    <mergeCell ref="B43:C43"/>
    <mergeCell ref="B44:C44"/>
    <mergeCell ref="B15:J15"/>
    <mergeCell ref="B16:J16"/>
    <mergeCell ref="B18:C19"/>
    <mergeCell ref="B25:B28"/>
    <mergeCell ref="B29:C29"/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22"/>
  <sheetViews>
    <sheetView showGridLines="0" zoomScale="110" zoomScaleNormal="110" workbookViewId="0">
      <selection activeCell="L20" sqref="L20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22" t="str">
        <f>"DIVISÃO DOS CUSTOS POR ALÍQUOTA DE ISSQN - "&amp;'Valor da Contratação'!B7&amp;""</f>
        <v>DIVISÃO DOS CUSTOS POR ALÍQUOTA DE ISSQN - POLO XI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</row>
    <row r="3" spans="2:249" ht="17.100000000000001" customHeight="1"/>
    <row r="4" spans="2:249" ht="45.75" customHeight="1">
      <c r="B4" s="110" t="s">
        <v>37</v>
      </c>
      <c r="C4" s="111" t="s">
        <v>220</v>
      </c>
      <c r="D4" s="111" t="s">
        <v>221</v>
      </c>
      <c r="E4" s="111" t="s">
        <v>222</v>
      </c>
      <c r="F4" s="67"/>
      <c r="G4" s="111" t="s">
        <v>223</v>
      </c>
      <c r="H4" s="111" t="s">
        <v>224</v>
      </c>
      <c r="I4" s="111" t="s">
        <v>225</v>
      </c>
      <c r="J4" s="111" t="s">
        <v>226</v>
      </c>
      <c r="K4" s="111" t="s">
        <v>227</v>
      </c>
      <c r="L4" s="111" t="s">
        <v>228</v>
      </c>
      <c r="M4" s="111" t="s">
        <v>229</v>
      </c>
    </row>
    <row r="5" spans="2:249" ht="15" customHeight="1">
      <c r="B5" s="92" t="str">
        <f>'Base Santa Maria'!B7</f>
        <v>APS BAGÉ</v>
      </c>
      <c r="C5" s="108">
        <f>VLOOKUP(B5,Unidades!$D$5:$G$21,4,)</f>
        <v>2.5000000000000001E-2</v>
      </c>
      <c r="D5" s="109">
        <f>'Base Santa Maria'!AD7*12+'Base Santa Maria'!AE7*4+'Base Santa Maria'!AF7*2+'Base Santa Maria'!AG7</f>
        <v>18373.147628827079</v>
      </c>
      <c r="E5" s="109">
        <f>'Base Santa Maria'!AK7*12+'Base Santa Maria'!AL7*4+'Base Santa Maria'!AM7*2+'Base Santa Maria'!AN7</f>
        <v>23714.221644527108</v>
      </c>
      <c r="G5" s="112">
        <v>0.02</v>
      </c>
      <c r="H5" s="114">
        <f t="shared" ref="H5:H11" si="0">SUMIF(C$5:C$21,G5,D$5:D$21)</f>
        <v>77020.136953529669</v>
      </c>
      <c r="I5" s="114">
        <f t="shared" ref="I5:I11" si="1">SUMIF(C$5:C$21,G5,E$5:E$21)</f>
        <v>98855.345779855328</v>
      </c>
      <c r="J5" s="114">
        <f t="shared" ref="J5:K11" si="2">H5*4</f>
        <v>308080.54781411868</v>
      </c>
      <c r="K5" s="114">
        <f t="shared" si="2"/>
        <v>395421.38311942131</v>
      </c>
      <c r="L5" s="113">
        <f>H5/H$13</f>
        <v>0.27548395001639708</v>
      </c>
      <c r="M5" s="113">
        <f t="shared" ref="L5:M11" si="3">I5/I$13</f>
        <v>0.2723662617644132</v>
      </c>
    </row>
    <row r="6" spans="2:249" ht="15" customHeight="1">
      <c r="B6" s="92" t="str">
        <f>'Base Santa Maria'!B8</f>
        <v>APS CANGUÇU</v>
      </c>
      <c r="C6" s="108">
        <f>VLOOKUP(B6,Unidades!$D$5:$G$21,4,)</f>
        <v>0.02</v>
      </c>
      <c r="D6" s="109">
        <f>'Base Santa Maria'!AD8*12+'Base Santa Maria'!AE8*4+'Base Santa Maria'!AF8*2+'Base Santa Maria'!AG8</f>
        <v>15174.710323453313</v>
      </c>
      <c r="E6" s="109">
        <f>'Base Santa Maria'!AK8*12+'Base Santa Maria'!AL8*4+'Base Santa Maria'!AM8*2+'Base Santa Maria'!AN8</f>
        <v>19476.740700152328</v>
      </c>
      <c r="G6" s="112">
        <v>2.5000000000000001E-2</v>
      </c>
      <c r="H6" s="114">
        <f t="shared" si="0"/>
        <v>36746.295257654157</v>
      </c>
      <c r="I6" s="114">
        <f t="shared" si="1"/>
        <v>47428.443289054216</v>
      </c>
      <c r="J6" s="114">
        <f t="shared" si="2"/>
        <v>146985.18103061663</v>
      </c>
      <c r="K6" s="114">
        <f t="shared" si="2"/>
        <v>189713.77315621686</v>
      </c>
      <c r="L6" s="113">
        <f t="shared" si="3"/>
        <v>0.13143334933505921</v>
      </c>
      <c r="M6" s="113">
        <f t="shared" si="3"/>
        <v>0.13067485322151967</v>
      </c>
    </row>
    <row r="7" spans="2:249" ht="15" customHeight="1">
      <c r="B7" s="92" t="str">
        <f>'Base Santa Maria'!B9</f>
        <v>APS PIRATINI</v>
      </c>
      <c r="C7" s="108">
        <f>VLOOKUP(B7,Unidades!$D$5:$G$21,4,)</f>
        <v>0.02</v>
      </c>
      <c r="D7" s="109">
        <f>'Base Santa Maria'!AD9*12+'Base Santa Maria'!AE9*4+'Base Santa Maria'!AF9*2+'Base Santa Maria'!AG9</f>
        <v>15174.710323453313</v>
      </c>
      <c r="E7" s="109">
        <f>'Base Santa Maria'!AK9*12+'Base Santa Maria'!AL9*4+'Base Santa Maria'!AM9*2+'Base Santa Maria'!AN9</f>
        <v>19476.740700152328</v>
      </c>
      <c r="G7" s="112">
        <v>0.03</v>
      </c>
      <c r="H7" s="114">
        <f t="shared" si="0"/>
        <v>93165.557001953173</v>
      </c>
      <c r="I7" s="114">
        <f t="shared" si="1"/>
        <v>120919.57643283501</v>
      </c>
      <c r="J7" s="114">
        <f t="shared" si="2"/>
        <v>372662.22800781269</v>
      </c>
      <c r="K7" s="114">
        <f t="shared" si="2"/>
        <v>483678.30573134002</v>
      </c>
      <c r="L7" s="113">
        <f t="shared" si="3"/>
        <v>0.33323253714624385</v>
      </c>
      <c r="M7" s="113">
        <f t="shared" si="3"/>
        <v>0.33315763297708134</v>
      </c>
    </row>
    <row r="8" spans="2:249" ht="15" customHeight="1">
      <c r="B8" s="92" t="str">
        <f>'Base Santa Maria'!B10</f>
        <v>APS CAÇAPAVA DO SUL</v>
      </c>
      <c r="C8" s="108">
        <f>VLOOKUP(B8,Unidades!$D$5:$G$21,4,)</f>
        <v>3.5000000000000003E-2</v>
      </c>
      <c r="D8" s="109">
        <f>'Base Santa Maria'!AD10*12+'Base Santa Maria'!AE10*4+'Base Santa Maria'!AF10*2+'Base Santa Maria'!AG10</f>
        <v>14103.206323453314</v>
      </c>
      <c r="E8" s="109">
        <f>'Base Santa Maria'!AK10*12+'Base Santa Maria'!AL10*4+'Base Santa Maria'!AM10*2+'Base Santa Maria'!AN10</f>
        <v>18408.915214003609</v>
      </c>
      <c r="G8" s="112">
        <v>3.5000000000000003E-2</v>
      </c>
      <c r="H8" s="114">
        <f t="shared" si="0"/>
        <v>31865.085084582599</v>
      </c>
      <c r="I8" s="114">
        <f t="shared" si="1"/>
        <v>41593.495560905671</v>
      </c>
      <c r="J8" s="114">
        <f t="shared" si="2"/>
        <v>127460.3403383304</v>
      </c>
      <c r="K8" s="114">
        <f t="shared" si="2"/>
        <v>166373.98224362268</v>
      </c>
      <c r="L8" s="113">
        <f t="shared" si="3"/>
        <v>0.11397434299559632</v>
      </c>
      <c r="M8" s="113">
        <f t="shared" si="3"/>
        <v>0.11459840446936295</v>
      </c>
    </row>
    <row r="9" spans="2:249" s="17" customFormat="1" ht="15" customHeight="1">
      <c r="B9" s="92" t="str">
        <f>'Base Santa Maria'!B11</f>
        <v>APS CACEQUI</v>
      </c>
      <c r="C9" s="108">
        <f>VLOOKUP(B9,Unidades!$D$5:$G$21,4,)</f>
        <v>0.03</v>
      </c>
      <c r="D9" s="109">
        <f>'Base Santa Maria'!AD11*12+'Base Santa Maria'!AE11*4+'Base Santa Maria'!AF11*2+'Base Santa Maria'!AG11</f>
        <v>11141.023573453314</v>
      </c>
      <c r="E9" s="109">
        <f>'Base Santa Maria'!AK11*12+'Base Santa Maria'!AL11*4+'Base Santa Maria'!AM11*2+'Base Santa Maria'!AN11</f>
        <v>14459.934495985055</v>
      </c>
      <c r="G9" s="112">
        <v>0.04</v>
      </c>
      <c r="H9" s="114">
        <f t="shared" si="0"/>
        <v>0</v>
      </c>
      <c r="I9" s="114">
        <f t="shared" si="1"/>
        <v>0</v>
      </c>
      <c r="J9" s="114">
        <f t="shared" si="2"/>
        <v>0</v>
      </c>
      <c r="K9" s="114">
        <f t="shared" si="2"/>
        <v>0</v>
      </c>
      <c r="L9" s="113">
        <f t="shared" si="3"/>
        <v>0</v>
      </c>
      <c r="M9" s="113">
        <f t="shared" si="3"/>
        <v>0</v>
      </c>
      <c r="IO9" s="18"/>
    </row>
    <row r="10" spans="2:249" s="17" customFormat="1" ht="15" customHeight="1">
      <c r="B10" s="92" t="str">
        <f>'Base Santa Maria'!B12</f>
        <v>APS CACHOEIRA DO SUL</v>
      </c>
      <c r="C10" s="108">
        <f>VLOOKUP(B10,Unidades!$D$5:$G$21,4,)</f>
        <v>0.02</v>
      </c>
      <c r="D10" s="109">
        <f>'Base Santa Maria'!AD12*12+'Base Santa Maria'!AE12*4+'Base Santa Maria'!AF12*2+'Base Santa Maria'!AG12</f>
        <v>17258.595295493746</v>
      </c>
      <c r="E10" s="109">
        <f>'Base Santa Maria'!AK12*12+'Base Santa Maria'!AL12*4+'Base Santa Maria'!AM12*2+'Base Santa Maria'!AN12</f>
        <v>22151.407061766222</v>
      </c>
      <c r="G10" s="112">
        <v>4.4999999999999998E-2</v>
      </c>
      <c r="H10" s="114">
        <f t="shared" si="0"/>
        <v>0</v>
      </c>
      <c r="I10" s="114">
        <f t="shared" si="1"/>
        <v>0</v>
      </c>
      <c r="J10" s="114">
        <f t="shared" si="2"/>
        <v>0</v>
      </c>
      <c r="K10" s="114">
        <f t="shared" si="2"/>
        <v>0</v>
      </c>
      <c r="L10" s="113">
        <f t="shared" si="3"/>
        <v>0</v>
      </c>
      <c r="M10" s="113">
        <f t="shared" si="3"/>
        <v>0</v>
      </c>
      <c r="IO10" s="18"/>
    </row>
    <row r="11" spans="2:249" ht="15" customHeight="1">
      <c r="B11" s="92" t="str">
        <f>'Base Santa Maria'!B13</f>
        <v>APS ENCRUZILHADA DO SUL</v>
      </c>
      <c r="C11" s="108">
        <f>VLOOKUP(B11,Unidades!$D$5:$G$21,4,)</f>
        <v>0.05</v>
      </c>
      <c r="D11" s="109">
        <f>'Base Santa Maria'!AD13*12+'Base Santa Maria'!AE13*4+'Base Santa Maria'!AF13*2+'Base Santa Maria'!AG13</f>
        <v>14103.206323453314</v>
      </c>
      <c r="E11" s="109">
        <f>'Base Santa Maria'!AK13*12+'Base Santa Maria'!AL13*4+'Base Santa Maria'!AM13*2+'Base Santa Maria'!AN13</f>
        <v>18726.237356281308</v>
      </c>
      <c r="G11" s="112">
        <v>0.05</v>
      </c>
      <c r="H11" s="114">
        <f t="shared" si="0"/>
        <v>40784.138868947062</v>
      </c>
      <c r="I11" s="114">
        <f t="shared" si="1"/>
        <v>54153.179590187901</v>
      </c>
      <c r="J11" s="114">
        <f t="shared" si="2"/>
        <v>163136.55547578825</v>
      </c>
      <c r="K11" s="114">
        <f t="shared" si="2"/>
        <v>216612.71836075161</v>
      </c>
      <c r="L11" s="113">
        <f t="shared" si="3"/>
        <v>0.14587582050670345</v>
      </c>
      <c r="M11" s="113">
        <f t="shared" si="3"/>
        <v>0.14920284756762278</v>
      </c>
    </row>
    <row r="12" spans="2:249" ht="15" customHeight="1">
      <c r="B12" s="92" t="str">
        <f>'Base Santa Maria'!B14</f>
        <v>APS RIO PARDO</v>
      </c>
      <c r="C12" s="108">
        <f>VLOOKUP(B12,Unidades!$D$5:$G$21,4,)</f>
        <v>0.02</v>
      </c>
      <c r="D12" s="109">
        <f>'Base Santa Maria'!AD14*12+'Base Santa Maria'!AE14*4+'Base Santa Maria'!AF14*2+'Base Santa Maria'!AG14</f>
        <v>14500.422021009308</v>
      </c>
      <c r="E12" s="109">
        <f>'Base Santa Maria'!AK14*12+'Base Santa Maria'!AL14*4+'Base Santa Maria'!AM14*2+'Base Santa Maria'!AN14</f>
        <v>18611.291663965447</v>
      </c>
      <c r="G12" s="8"/>
    </row>
    <row r="13" spans="2:249" s="7" customFormat="1" ht="15" customHeight="1">
      <c r="B13" s="92" t="str">
        <f>'Base Santa Maria'!B15</f>
        <v>APS Santiago</v>
      </c>
      <c r="C13" s="108">
        <f>VLOOKUP(B13,Unidades!$D$5:$G$21,4,)</f>
        <v>0.03</v>
      </c>
      <c r="D13" s="109">
        <f>'Base Santa Maria'!AD15*12+'Base Santa Maria'!AE15*4+'Base Santa Maria'!AF15*2+'Base Santa Maria'!AG15</f>
        <v>12404.072187675974</v>
      </c>
      <c r="E13" s="109">
        <f>'Base Santa Maria'!AK15*12+'Base Santa Maria'!AL15*4+'Base Santa Maria'!AM15*2+'Base Santa Maria'!AN15</f>
        <v>16099.245292384647</v>
      </c>
      <c r="G13" s="111" t="s">
        <v>100</v>
      </c>
      <c r="H13" s="117">
        <f t="shared" ref="H13:M13" si="4">SUM(H5:H11)</f>
        <v>279581.21316666668</v>
      </c>
      <c r="I13" s="117">
        <f t="shared" si="4"/>
        <v>362950.04065283813</v>
      </c>
      <c r="J13" s="117">
        <f t="shared" si="4"/>
        <v>1118324.8526666667</v>
      </c>
      <c r="K13" s="117">
        <f t="shared" si="4"/>
        <v>1451800.1626113525</v>
      </c>
      <c r="L13" s="118">
        <f t="shared" si="4"/>
        <v>0.99999999999999989</v>
      </c>
      <c r="M13" s="118">
        <f t="shared" si="4"/>
        <v>1</v>
      </c>
      <c r="IO13"/>
    </row>
    <row r="14" spans="2:249" s="7" customFormat="1" ht="15" customHeight="1">
      <c r="B14" s="92" t="str">
        <f>'Base Santa Maria'!B16</f>
        <v>GEX/APS SANTA MARIA</v>
      </c>
      <c r="C14" s="108">
        <f>VLOOKUP(B14,Unidades!$D$5:$G$21,4,)</f>
        <v>3.5000000000000003E-2</v>
      </c>
      <c r="D14" s="109">
        <f>'Base Santa Maria'!AD16*12+'Base Santa Maria'!AE16*4+'Base Santa Maria'!AF16*2+'Base Santa Maria'!AG16</f>
        <v>17761.878761129286</v>
      </c>
      <c r="E14" s="109">
        <f>'Base Santa Maria'!AK16*12+'Base Santa Maria'!AL16*4+'Base Santa Maria'!AM16*2+'Base Santa Maria'!AN16</f>
        <v>23184.580346902061</v>
      </c>
      <c r="IO14"/>
    </row>
    <row r="15" spans="2:249" s="7" customFormat="1" ht="15" customHeight="1">
      <c r="B15" s="92" t="str">
        <f>'Base Santa Maria'!B17</f>
        <v>APS ALEGRETE</v>
      </c>
      <c r="C15" s="108">
        <f>VLOOKUP(B15,Unidades!$D$5:$G$21,4,)</f>
        <v>0.03</v>
      </c>
      <c r="D15" s="109">
        <f>'Base Santa Maria'!AD17*12+'Base Santa Maria'!AE17*4+'Base Santa Maria'!AF17*2+'Base Santa Maria'!AG17</f>
        <v>23140.86387882708</v>
      </c>
      <c r="E15" s="109">
        <f>'Base Santa Maria'!AK17*12+'Base Santa Maria'!AL17*4+'Base Santa Maria'!AM17*2+'Base Santa Maria'!AN17</f>
        <v>30034.527228329665</v>
      </c>
      <c r="IO15"/>
    </row>
    <row r="16" spans="2:249" s="7" customFormat="1" ht="15" customHeight="1">
      <c r="B16" s="92" t="str">
        <f>'Base Santa Maria'!B18</f>
        <v>APS DOM PEDRITO</v>
      </c>
      <c r="C16" s="108">
        <f>VLOOKUP(B16,Unidades!$D$5:$G$21,4,)</f>
        <v>2.5000000000000001E-2</v>
      </c>
      <c r="D16" s="109">
        <f>'Base Santa Maria'!AD18*12+'Base Santa Maria'!AE18*4+'Base Santa Maria'!AF18*2+'Base Santa Maria'!AG18</f>
        <v>18373.147628827079</v>
      </c>
      <c r="E16" s="109">
        <f>'Base Santa Maria'!AK18*12+'Base Santa Maria'!AL18*4+'Base Santa Maria'!AM18*2+'Base Santa Maria'!AN18</f>
        <v>23714.221644527108</v>
      </c>
      <c r="IO16"/>
    </row>
    <row r="17" spans="2:249" s="7" customFormat="1" ht="15" customHeight="1">
      <c r="B17" s="92" t="str">
        <f>'Base Santa Maria'!B19</f>
        <v>APS QUARAÍ</v>
      </c>
      <c r="C17" s="108">
        <f>VLOOKUP(B17,Unidades!$D$5:$G$21,4,)</f>
        <v>0.02</v>
      </c>
      <c r="D17" s="109">
        <f>'Base Santa Maria'!AD19*12+'Base Santa Maria'!AE19*4+'Base Santa Maria'!AF19*2+'Base Santa Maria'!AG19</f>
        <v>14911.698990119979</v>
      </c>
      <c r="E17" s="109">
        <f>'Base Santa Maria'!AK19*12+'Base Santa Maria'!AL19*4+'Base Santa Maria'!AM19*2+'Base Santa Maria'!AN19</f>
        <v>19139.165653818993</v>
      </c>
      <c r="IO17"/>
    </row>
    <row r="18" spans="2:249" s="7" customFormat="1" ht="15" customHeight="1">
      <c r="B18" s="92" t="str">
        <f>'Base Santa Maria'!B20</f>
        <v>APS ROSÁRIO DO SUL</v>
      </c>
      <c r="C18" s="108">
        <f>VLOOKUP(B18,Unidades!$D$5:$G$21,4,)</f>
        <v>0.03</v>
      </c>
      <c r="D18" s="109">
        <f>'Base Santa Maria'!AD20*12+'Base Santa Maria'!AE20*4+'Base Santa Maria'!AF20*2+'Base Santa Maria'!AG20</f>
        <v>12394.251604342642</v>
      </c>
      <c r="E18" s="109">
        <f>'Base Santa Maria'!AK20*12+'Base Santa Maria'!AL20*4+'Base Santa Maria'!AM20*2+'Base Santa Maria'!AN20</f>
        <v>16086.499157276316</v>
      </c>
      <c r="IO18"/>
    </row>
    <row r="19" spans="2:249" s="7" customFormat="1" ht="15" customHeight="1">
      <c r="B19" s="92" t="str">
        <f>'Base Santa Maria'!B21</f>
        <v>APS SANTANA DO LIVRAMENTO</v>
      </c>
      <c r="C19" s="108">
        <f>VLOOKUP(B19,Unidades!$D$5:$G$21,4,)</f>
        <v>0.03</v>
      </c>
      <c r="D19" s="109">
        <f>'Base Santa Maria'!AD21*12+'Base Santa Maria'!AE21*4+'Base Santa Maria'!AF21*2+'Base Santa Maria'!AG21</f>
        <v>18932.920878827077</v>
      </c>
      <c r="E19" s="109">
        <f>'Base Santa Maria'!AK21*12+'Base Santa Maria'!AL21*4+'Base Santa Maria'!AM21*2+'Base Santa Maria'!AN21</f>
        <v>24573.038008629665</v>
      </c>
      <c r="IO19"/>
    </row>
    <row r="20" spans="2:249" s="7" customFormat="1" ht="15" customHeight="1">
      <c r="B20" s="92" t="str">
        <f>'Base Santa Maria'!B22</f>
        <v>APS SÃO GABRIEL</v>
      </c>
      <c r="C20" s="108">
        <f>VLOOKUP(B20,Unidades!$D$5:$G$21,4,)</f>
        <v>0.03</v>
      </c>
      <c r="D20" s="109">
        <f>'Base Santa Maria'!AD22*12+'Base Santa Maria'!AE22*4+'Base Santa Maria'!AF22*2+'Base Santa Maria'!AG22</f>
        <v>15152.424878827078</v>
      </c>
      <c r="E20" s="109">
        <f>'Base Santa Maria'!AK22*12+'Base Santa Maria'!AL22*4+'Base Santa Maria'!AM22*2+'Base Santa Maria'!AN22</f>
        <v>19666.332250229665</v>
      </c>
      <c r="IO20"/>
    </row>
    <row r="21" spans="2:249" s="7" customFormat="1" ht="15" customHeight="1">
      <c r="B21" s="92" t="str">
        <f>'Base Santa Maria'!B23</f>
        <v>GEX/APS URUGUAIANA</v>
      </c>
      <c r="C21" s="108">
        <f>VLOOKUP(B21,Unidades!$D$5:$G$21,4,)</f>
        <v>0.05</v>
      </c>
      <c r="D21" s="109">
        <f>'Base Santa Maria'!AD23*12+'Base Santa Maria'!AE23*4+'Base Santa Maria'!AF23*2+'Base Santa Maria'!AG23</f>
        <v>26680.932545493746</v>
      </c>
      <c r="E21" s="109">
        <f>'Base Santa Maria'!AK23*12+'Base Santa Maria'!AL23*4+'Base Santa Maria'!AM23*2+'Base Santa Maria'!AN23</f>
        <v>35426.942233906593</v>
      </c>
      <c r="IO21"/>
    </row>
    <row r="22" spans="2:249" ht="15">
      <c r="B22" s="322" t="s">
        <v>100</v>
      </c>
      <c r="C22" s="322"/>
      <c r="D22" s="116">
        <f>SUM(D5:D21)</f>
        <v>279581.21316666662</v>
      </c>
      <c r="E22" s="116">
        <f>SUM(E5:E21)</f>
        <v>362950.04065283807</v>
      </c>
    </row>
  </sheetData>
  <mergeCells count="2">
    <mergeCell ref="B2:M2"/>
    <mergeCell ref="B22:C22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29"/>
  <sheetViews>
    <sheetView showGridLines="0" zoomScale="110" zoomScaleNormal="110" workbookViewId="0">
      <selection activeCell="K22" sqref="K22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07" t="str">
        <f>"PLANILHA RESUMO "&amp;'Valor da Contratação'!B7&amp;""</f>
        <v>PLANILHA RESUMO POLO XI</v>
      </c>
      <c r="C2" s="208"/>
      <c r="D2" s="208"/>
      <c r="E2" s="208"/>
      <c r="F2" s="208"/>
      <c r="G2" s="208"/>
      <c r="H2" s="208"/>
      <c r="I2" s="209"/>
      <c r="J2" s="119"/>
    </row>
    <row r="3" spans="2:250" ht="15" customHeight="1">
      <c r="B3" s="5"/>
      <c r="H3" s="5"/>
      <c r="I3" s="9"/>
    </row>
    <row r="4" spans="2:250" ht="46.5" customHeight="1">
      <c r="B4" s="10" t="s">
        <v>11</v>
      </c>
      <c r="C4" s="10" t="s">
        <v>12</v>
      </c>
      <c r="D4" s="10" t="s">
        <v>13</v>
      </c>
      <c r="E4" s="10" t="s">
        <v>14</v>
      </c>
      <c r="F4" s="10" t="s">
        <v>15</v>
      </c>
      <c r="G4" s="10" t="s">
        <v>16</v>
      </c>
      <c r="H4" s="10" t="s">
        <v>17</v>
      </c>
      <c r="I4" s="10" t="s">
        <v>18</v>
      </c>
    </row>
    <row r="5" spans="2:250" ht="20.100000000000001" customHeight="1">
      <c r="B5" s="87" t="s">
        <v>19</v>
      </c>
      <c r="C5" s="12">
        <f>'Base Santa Maria'!C24</f>
        <v>21447.05</v>
      </c>
      <c r="D5" s="6">
        <f>'Base Santa Maria'!AT10</f>
        <v>30245.836721069845</v>
      </c>
      <c r="E5" s="6">
        <f>D5*12</f>
        <v>362950.04065283813</v>
      </c>
      <c r="F5" s="6">
        <f>'Base Santa Maria'!AT12</f>
        <v>90737.510163209532</v>
      </c>
      <c r="G5" s="6">
        <f>F5*12</f>
        <v>1088850.1219585144</v>
      </c>
      <c r="H5" s="6">
        <f>D5+F5</f>
        <v>120983.34688427938</v>
      </c>
      <c r="I5" s="6">
        <f>H5*12</f>
        <v>1451800.1626113525</v>
      </c>
    </row>
    <row r="6" spans="2:250" ht="20.100000000000001" customHeight="1">
      <c r="B6" s="13" t="str">
        <f>"TOTAL "&amp;'Valor da Contratação'!B7&amp;""</f>
        <v>TOTAL POLO XI</v>
      </c>
      <c r="C6" s="14">
        <f t="shared" ref="C6:I6" si="0">SUM(C5:C5)</f>
        <v>21447.05</v>
      </c>
      <c r="D6" s="15">
        <f t="shared" si="0"/>
        <v>30245.836721069845</v>
      </c>
      <c r="E6" s="15">
        <f t="shared" si="0"/>
        <v>362950.04065283813</v>
      </c>
      <c r="F6" s="15">
        <f t="shared" si="0"/>
        <v>90737.510163209532</v>
      </c>
      <c r="G6" s="15">
        <f t="shared" si="0"/>
        <v>1088850.1219585144</v>
      </c>
      <c r="H6" s="15">
        <f t="shared" si="0"/>
        <v>120983.34688427938</v>
      </c>
      <c r="I6" s="15">
        <f t="shared" si="0"/>
        <v>1451800.1626113525</v>
      </c>
    </row>
    <row r="7" spans="2:250" ht="24.95" customHeight="1">
      <c r="B7" s="5"/>
      <c r="C7" s="5"/>
      <c r="D7" s="5"/>
      <c r="E7" s="5"/>
      <c r="F7" s="5"/>
      <c r="G7" s="16"/>
      <c r="H7" s="5"/>
      <c r="I7" s="9"/>
    </row>
    <row r="8" spans="2:250" s="17" customFormat="1" ht="27.2" customHeight="1">
      <c r="B8" s="210" t="str">
        <f>"BASE "&amp;B5</f>
        <v>BASE SANTA MARIA</v>
      </c>
      <c r="C8" s="211" t="s">
        <v>20</v>
      </c>
      <c r="D8" s="211"/>
      <c r="E8" s="211"/>
      <c r="F8" s="211" t="s">
        <v>21</v>
      </c>
      <c r="G8" s="211"/>
      <c r="H8" s="211"/>
      <c r="I8" s="70" t="s">
        <v>22</v>
      </c>
      <c r="IP8" s="18"/>
    </row>
    <row r="9" spans="2:250" s="17" customFormat="1" ht="22.7" customHeight="1">
      <c r="B9" s="210"/>
      <c r="C9" s="71" t="s">
        <v>23</v>
      </c>
      <c r="D9" s="71" t="s">
        <v>24</v>
      </c>
      <c r="E9" s="71" t="s">
        <v>25</v>
      </c>
      <c r="F9" s="72" t="s">
        <v>23</v>
      </c>
      <c r="G9" s="72" t="s">
        <v>24</v>
      </c>
      <c r="H9" s="72" t="s">
        <v>25</v>
      </c>
      <c r="I9" s="72" t="s">
        <v>26</v>
      </c>
      <c r="IP9" s="18"/>
    </row>
    <row r="10" spans="2:250" ht="17.100000000000001" customHeight="1">
      <c r="B10" s="87" t="str">
        <f>'Base Santa Maria'!B7</f>
        <v>APS BAGÉ</v>
      </c>
      <c r="C10" s="6">
        <f>'Base Santa Maria'!AO7</f>
        <v>1976.1851370439256</v>
      </c>
      <c r="D10" s="6">
        <f t="shared" ref="D10:D26" si="1">C10*3</f>
        <v>5928.555411131777</v>
      </c>
      <c r="E10" s="6">
        <f t="shared" ref="E10:E26" si="2">C10+D10</f>
        <v>7904.7405481757023</v>
      </c>
      <c r="F10" s="6">
        <f t="shared" ref="F10:F26" si="3">C10*12</f>
        <v>23714.221644527108</v>
      </c>
      <c r="G10" s="6">
        <f t="shared" ref="G10:G26" si="4">F10*3</f>
        <v>71142.664933581327</v>
      </c>
      <c r="H10" s="6">
        <f t="shared" ref="H10:H26" si="5">F10+G10</f>
        <v>94856.886578108431</v>
      </c>
      <c r="I10" s="20">
        <f t="shared" ref="I10:I26" si="6">F10/$E$6</f>
        <v>6.5337426610759836E-2</v>
      </c>
    </row>
    <row r="11" spans="2:250" ht="17.100000000000001" customHeight="1">
      <c r="B11" s="87" t="str">
        <f>'Base Santa Maria'!B8</f>
        <v>APS CANGUÇU</v>
      </c>
      <c r="C11" s="6">
        <f>'Base Santa Maria'!AO8</f>
        <v>1623.0617250126941</v>
      </c>
      <c r="D11" s="6">
        <f t="shared" si="1"/>
        <v>4869.185175038082</v>
      </c>
      <c r="E11" s="6">
        <f t="shared" si="2"/>
        <v>6492.2469000507763</v>
      </c>
      <c r="F11" s="6">
        <f t="shared" si="3"/>
        <v>19476.740700152328</v>
      </c>
      <c r="G11" s="6">
        <f t="shared" si="4"/>
        <v>58430.222100456987</v>
      </c>
      <c r="H11" s="6">
        <f t="shared" si="5"/>
        <v>77906.962800609312</v>
      </c>
      <c r="I11" s="20">
        <f t="shared" si="6"/>
        <v>5.366231855249147E-2</v>
      </c>
    </row>
    <row r="12" spans="2:250" ht="17.100000000000001" customHeight="1">
      <c r="B12" s="87" t="str">
        <f>'Base Santa Maria'!B9</f>
        <v>APS PIRATINI</v>
      </c>
      <c r="C12" s="6">
        <f>'Base Santa Maria'!AO9</f>
        <v>1623.0617250126941</v>
      </c>
      <c r="D12" s="6">
        <f t="shared" si="1"/>
        <v>4869.185175038082</v>
      </c>
      <c r="E12" s="6">
        <f t="shared" si="2"/>
        <v>6492.2469000507763</v>
      </c>
      <c r="F12" s="6">
        <f t="shared" si="3"/>
        <v>19476.740700152328</v>
      </c>
      <c r="G12" s="6">
        <f t="shared" si="4"/>
        <v>58430.222100456987</v>
      </c>
      <c r="H12" s="6">
        <f t="shared" si="5"/>
        <v>77906.962800609312</v>
      </c>
      <c r="I12" s="20">
        <f t="shared" si="6"/>
        <v>5.366231855249147E-2</v>
      </c>
    </row>
    <row r="13" spans="2:250" ht="17.100000000000001" customHeight="1">
      <c r="B13" s="87" t="str">
        <f>'Base Santa Maria'!B10</f>
        <v>APS CAÇAPAVA DO SUL</v>
      </c>
      <c r="C13" s="6">
        <f>'Base Santa Maria'!AO10</f>
        <v>1534.0762678336341</v>
      </c>
      <c r="D13" s="6">
        <f t="shared" si="1"/>
        <v>4602.2288035009024</v>
      </c>
      <c r="E13" s="6">
        <f t="shared" si="2"/>
        <v>6136.3050713345365</v>
      </c>
      <c r="F13" s="6">
        <f t="shared" si="3"/>
        <v>18408.915214003609</v>
      </c>
      <c r="G13" s="6">
        <f t="shared" si="4"/>
        <v>55226.745642010828</v>
      </c>
      <c r="H13" s="6">
        <f t="shared" si="5"/>
        <v>73635.660856014438</v>
      </c>
      <c r="I13" s="20">
        <f t="shared" si="6"/>
        <v>5.0720245631854732E-2</v>
      </c>
    </row>
    <row r="14" spans="2:250" ht="17.100000000000001" customHeight="1">
      <c r="B14" s="87" t="str">
        <f>'Base Santa Maria'!B11</f>
        <v>APS CACEQUI</v>
      </c>
      <c r="C14" s="6">
        <f>'Base Santa Maria'!AO11</f>
        <v>1204.9945413320879</v>
      </c>
      <c r="D14" s="6">
        <f t="shared" si="1"/>
        <v>3614.9836239962638</v>
      </c>
      <c r="E14" s="6">
        <f t="shared" si="2"/>
        <v>4819.9781653283517</v>
      </c>
      <c r="F14" s="6">
        <f t="shared" si="3"/>
        <v>14459.934495985055</v>
      </c>
      <c r="G14" s="6">
        <f t="shared" si="4"/>
        <v>43379.803487955163</v>
      </c>
      <c r="H14" s="6">
        <f t="shared" si="5"/>
        <v>57839.73798394022</v>
      </c>
      <c r="I14" s="20">
        <f t="shared" si="6"/>
        <v>3.9840013435391758E-2</v>
      </c>
    </row>
    <row r="15" spans="2:250" ht="17.100000000000001" customHeight="1">
      <c r="B15" s="87" t="str">
        <f>'Base Santa Maria'!B12</f>
        <v>APS CACHOEIRA DO SUL</v>
      </c>
      <c r="C15" s="6">
        <f>'Base Santa Maria'!AO12</f>
        <v>1845.9505884805185</v>
      </c>
      <c r="D15" s="6">
        <f t="shared" si="1"/>
        <v>5537.8517654415555</v>
      </c>
      <c r="E15" s="6">
        <f t="shared" si="2"/>
        <v>7383.802353922074</v>
      </c>
      <c r="F15" s="6">
        <f t="shared" si="3"/>
        <v>22151.407061766222</v>
      </c>
      <c r="G15" s="6">
        <f t="shared" si="4"/>
        <v>66454.221185298666</v>
      </c>
      <c r="H15" s="6">
        <f t="shared" si="5"/>
        <v>88605.628247064888</v>
      </c>
      <c r="I15" s="20">
        <f t="shared" si="6"/>
        <v>6.1031559665684271E-2</v>
      </c>
    </row>
    <row r="16" spans="2:250" ht="17.100000000000001" customHeight="1">
      <c r="B16" s="87" t="str">
        <f>'Base Santa Maria'!B13</f>
        <v>APS ENCRUZILHADA DO SUL</v>
      </c>
      <c r="C16" s="6">
        <f>'Base Santa Maria'!AO13</f>
        <v>1560.5197796901091</v>
      </c>
      <c r="D16" s="6">
        <f t="shared" si="1"/>
        <v>4681.559339070327</v>
      </c>
      <c r="E16" s="6">
        <f t="shared" si="2"/>
        <v>6242.0791187604364</v>
      </c>
      <c r="F16" s="6">
        <f t="shared" si="3"/>
        <v>18726.237356281308</v>
      </c>
      <c r="G16" s="6">
        <f t="shared" si="4"/>
        <v>56178.712068843924</v>
      </c>
      <c r="H16" s="6">
        <f t="shared" si="5"/>
        <v>74904.949425125233</v>
      </c>
      <c r="I16" s="20">
        <f t="shared" si="6"/>
        <v>5.1594531640218114E-2</v>
      </c>
    </row>
    <row r="17" spans="2:9" ht="17.100000000000001" customHeight="1">
      <c r="B17" s="87" t="str">
        <f>'Base Santa Maria'!B14</f>
        <v>APS RIO PARDO</v>
      </c>
      <c r="C17" s="6">
        <f>'Base Santa Maria'!AO14</f>
        <v>1550.9409719971206</v>
      </c>
      <c r="D17" s="6">
        <f t="shared" si="1"/>
        <v>4652.8229159913617</v>
      </c>
      <c r="E17" s="6">
        <f t="shared" si="2"/>
        <v>6203.7638879884826</v>
      </c>
      <c r="F17" s="6">
        <f t="shared" si="3"/>
        <v>18611.291663965447</v>
      </c>
      <c r="G17" s="6">
        <f t="shared" si="4"/>
        <v>55833.874991896344</v>
      </c>
      <c r="H17" s="6">
        <f t="shared" si="5"/>
        <v>74445.166655861787</v>
      </c>
      <c r="I17" s="20">
        <f t="shared" si="6"/>
        <v>5.1277833253550051E-2</v>
      </c>
    </row>
    <row r="18" spans="2:9" ht="17.100000000000001" customHeight="1">
      <c r="B18" s="87" t="str">
        <f>'Base Santa Maria'!B15</f>
        <v>APS Santiago</v>
      </c>
      <c r="C18" s="6">
        <f>'Base Santa Maria'!AO15</f>
        <v>1341.6037743653872</v>
      </c>
      <c r="D18" s="6">
        <f t="shared" si="1"/>
        <v>4024.8113230961617</v>
      </c>
      <c r="E18" s="6">
        <f t="shared" si="2"/>
        <v>5366.4150974615486</v>
      </c>
      <c r="F18" s="6">
        <f t="shared" si="3"/>
        <v>16099.245292384647</v>
      </c>
      <c r="G18" s="6">
        <f t="shared" si="4"/>
        <v>48297.735877153944</v>
      </c>
      <c r="H18" s="6">
        <f t="shared" si="5"/>
        <v>64396.981169538587</v>
      </c>
      <c r="I18" s="20">
        <f t="shared" si="6"/>
        <v>4.4356642758399858E-2</v>
      </c>
    </row>
    <row r="19" spans="2:9" ht="17.100000000000001" customHeight="1">
      <c r="B19" s="87" t="str">
        <f>'Base Santa Maria'!B16</f>
        <v>GEX/APS SANTA MARIA</v>
      </c>
      <c r="C19" s="6">
        <f>'Base Santa Maria'!AO16</f>
        <v>1932.0483622418385</v>
      </c>
      <c r="D19" s="6">
        <f t="shared" si="1"/>
        <v>5796.1450867255153</v>
      </c>
      <c r="E19" s="6">
        <f t="shared" si="2"/>
        <v>7728.193448967354</v>
      </c>
      <c r="F19" s="6">
        <f t="shared" si="3"/>
        <v>23184.580346902061</v>
      </c>
      <c r="G19" s="6">
        <f t="shared" si="4"/>
        <v>69553.741040706183</v>
      </c>
      <c r="H19" s="6">
        <f t="shared" si="5"/>
        <v>92738.321387608245</v>
      </c>
      <c r="I19" s="20">
        <f t="shared" si="6"/>
        <v>6.387815883750822E-2</v>
      </c>
    </row>
    <row r="20" spans="2:9" ht="17.100000000000001" customHeight="1">
      <c r="B20" s="87" t="str">
        <f>'Base Santa Maria'!B17</f>
        <v>APS ALEGRETE</v>
      </c>
      <c r="C20" s="6">
        <f>'Base Santa Maria'!AO17</f>
        <v>2502.8772690274723</v>
      </c>
      <c r="D20" s="6">
        <f t="shared" si="1"/>
        <v>7508.6318070824163</v>
      </c>
      <c r="E20" s="6">
        <f t="shared" si="2"/>
        <v>10011.509076109889</v>
      </c>
      <c r="F20" s="6">
        <f t="shared" si="3"/>
        <v>30034.527228329665</v>
      </c>
      <c r="G20" s="6">
        <f t="shared" si="4"/>
        <v>90103.581684988996</v>
      </c>
      <c r="H20" s="6">
        <f t="shared" si="5"/>
        <v>120138.10891331866</v>
      </c>
      <c r="I20" s="20">
        <f t="shared" si="6"/>
        <v>8.2751133390993895E-2</v>
      </c>
    </row>
    <row r="21" spans="2:9" ht="17.100000000000001" customHeight="1">
      <c r="B21" s="87" t="str">
        <f>'Base Santa Maria'!B18</f>
        <v>APS DOM PEDRITO</v>
      </c>
      <c r="C21" s="6">
        <f>'Base Santa Maria'!AO18</f>
        <v>1976.1851370439256</v>
      </c>
      <c r="D21" s="6">
        <f t="shared" si="1"/>
        <v>5928.555411131777</v>
      </c>
      <c r="E21" s="6">
        <f t="shared" si="2"/>
        <v>7904.7405481757023</v>
      </c>
      <c r="F21" s="6">
        <f t="shared" si="3"/>
        <v>23714.221644527108</v>
      </c>
      <c r="G21" s="6">
        <f t="shared" si="4"/>
        <v>71142.664933581327</v>
      </c>
      <c r="H21" s="6">
        <f t="shared" si="5"/>
        <v>94856.886578108431</v>
      </c>
      <c r="I21" s="20">
        <f t="shared" si="6"/>
        <v>6.5337426610759836E-2</v>
      </c>
    </row>
    <row r="22" spans="2:9" ht="17.100000000000001" customHeight="1">
      <c r="B22" s="87" t="str">
        <f>'Base Santa Maria'!B19</f>
        <v>APS QUARAÍ</v>
      </c>
      <c r="C22" s="6">
        <f>'Base Santa Maria'!AO19</f>
        <v>1594.9304711515827</v>
      </c>
      <c r="D22" s="6">
        <f t="shared" si="1"/>
        <v>4784.7914134547482</v>
      </c>
      <c r="E22" s="6">
        <f t="shared" si="2"/>
        <v>6379.7218846063306</v>
      </c>
      <c r="F22" s="6">
        <f t="shared" si="3"/>
        <v>19139.165653818993</v>
      </c>
      <c r="G22" s="6">
        <f t="shared" si="4"/>
        <v>57417.496961456978</v>
      </c>
      <c r="H22" s="6">
        <f t="shared" si="5"/>
        <v>76556.662615275971</v>
      </c>
      <c r="I22" s="20">
        <f t="shared" si="6"/>
        <v>5.273223174019593E-2</v>
      </c>
    </row>
    <row r="23" spans="2:9" ht="17.100000000000001" customHeight="1">
      <c r="B23" s="87" t="str">
        <f>'Base Santa Maria'!B20</f>
        <v>APS ROSÁRIO DO SUL</v>
      </c>
      <c r="C23" s="6">
        <f>'Base Santa Maria'!AO20</f>
        <v>1340.541596439693</v>
      </c>
      <c r="D23" s="6">
        <f t="shared" si="1"/>
        <v>4021.6247893190789</v>
      </c>
      <c r="E23" s="6">
        <f t="shared" si="2"/>
        <v>5362.1663857587719</v>
      </c>
      <c r="F23" s="6">
        <f t="shared" si="3"/>
        <v>16086.499157276316</v>
      </c>
      <c r="G23" s="6">
        <f t="shared" si="4"/>
        <v>48259.497471828945</v>
      </c>
      <c r="H23" s="6">
        <f t="shared" si="5"/>
        <v>64345.996629105262</v>
      </c>
      <c r="I23" s="20">
        <f t="shared" si="6"/>
        <v>4.4321524605263951E-2</v>
      </c>
    </row>
    <row r="24" spans="2:9" ht="17.100000000000001" customHeight="1">
      <c r="B24" s="87" t="str">
        <f>'Base Santa Maria'!B21</f>
        <v>APS SANTANA DO LIVRAMENTO</v>
      </c>
      <c r="C24" s="6">
        <f>'Base Santa Maria'!AO21</f>
        <v>2047.7531673858055</v>
      </c>
      <c r="D24" s="6">
        <f t="shared" si="1"/>
        <v>6143.2595021574161</v>
      </c>
      <c r="E24" s="6">
        <f t="shared" si="2"/>
        <v>8191.0126695432218</v>
      </c>
      <c r="F24" s="6">
        <f t="shared" si="3"/>
        <v>24573.038008629665</v>
      </c>
      <c r="G24" s="6">
        <f t="shared" si="4"/>
        <v>73719.114025888994</v>
      </c>
      <c r="H24" s="6">
        <f t="shared" si="5"/>
        <v>98292.152034518658</v>
      </c>
      <c r="I24" s="20">
        <f t="shared" si="6"/>
        <v>6.7703637570697472E-2</v>
      </c>
    </row>
    <row r="25" spans="2:9" ht="17.100000000000001" customHeight="1">
      <c r="B25" s="87" t="str">
        <f>'Base Santa Maria'!B22</f>
        <v>APS SÃO GABRIEL</v>
      </c>
      <c r="C25" s="6">
        <f>'Base Santa Maria'!AO22</f>
        <v>1638.8610208524722</v>
      </c>
      <c r="D25" s="6">
        <f t="shared" si="1"/>
        <v>4916.5830625574163</v>
      </c>
      <c r="E25" s="6">
        <f t="shared" si="2"/>
        <v>6555.4440834098887</v>
      </c>
      <c r="F25" s="6">
        <f t="shared" si="3"/>
        <v>19666.332250229665</v>
      </c>
      <c r="G25" s="6">
        <f t="shared" si="4"/>
        <v>58998.996750688995</v>
      </c>
      <c r="H25" s="6">
        <f t="shared" si="5"/>
        <v>78665.32900091866</v>
      </c>
      <c r="I25" s="20">
        <f t="shared" si="6"/>
        <v>5.4184681216334456E-2</v>
      </c>
    </row>
    <row r="26" spans="2:9" ht="17.100000000000001" customHeight="1">
      <c r="B26" s="87" t="str">
        <f>'Base Santa Maria'!B23</f>
        <v>GEX/APS URUGUAIANA</v>
      </c>
      <c r="C26" s="6">
        <f>'Base Santa Maria'!AO23</f>
        <v>2952.2451861588829</v>
      </c>
      <c r="D26" s="6">
        <f t="shared" si="1"/>
        <v>8856.7355584766483</v>
      </c>
      <c r="E26" s="6">
        <f t="shared" si="2"/>
        <v>11808.980744635532</v>
      </c>
      <c r="F26" s="6">
        <f t="shared" si="3"/>
        <v>35426.942233906593</v>
      </c>
      <c r="G26" s="6">
        <f t="shared" si="4"/>
        <v>106280.82670171978</v>
      </c>
      <c r="H26" s="6">
        <f t="shared" si="5"/>
        <v>141707.76893562637</v>
      </c>
      <c r="I26" s="20">
        <f t="shared" si="6"/>
        <v>9.7608315927404668E-2</v>
      </c>
    </row>
    <row r="27" spans="2:9" ht="22.7" customHeight="1">
      <c r="B27" s="21" t="str">
        <f>"Total Base "&amp;B5</f>
        <v>Total Base SANTA MARIA</v>
      </c>
      <c r="C27" s="21">
        <f t="shared" ref="C27:I27" si="7">SUM(C10:C26)</f>
        <v>30245.836721069842</v>
      </c>
      <c r="D27" s="21">
        <f t="shared" si="7"/>
        <v>90737.510163209517</v>
      </c>
      <c r="E27" s="21">
        <f t="shared" si="7"/>
        <v>120983.34688427937</v>
      </c>
      <c r="F27" s="21">
        <f t="shared" si="7"/>
        <v>362950.04065283807</v>
      </c>
      <c r="G27" s="21">
        <f t="shared" si="7"/>
        <v>1088850.1219585144</v>
      </c>
      <c r="H27" s="21">
        <f t="shared" si="7"/>
        <v>1451800.1626113523</v>
      </c>
      <c r="I27" s="22">
        <f t="shared" si="7"/>
        <v>1</v>
      </c>
    </row>
    <row r="28" spans="2:9" ht="22.7" customHeight="1">
      <c r="B28" s="23"/>
      <c r="C28" s="23"/>
      <c r="D28" s="23"/>
      <c r="E28" s="23"/>
      <c r="F28" s="23"/>
      <c r="G28" s="23"/>
      <c r="H28" s="23"/>
      <c r="I28" s="24"/>
    </row>
    <row r="29" spans="2:9" ht="22.7" customHeight="1">
      <c r="B29" s="19"/>
      <c r="C29" s="23"/>
      <c r="D29" s="23"/>
      <c r="E29" s="23"/>
      <c r="F29" s="23"/>
      <c r="G29" s="23"/>
      <c r="H29" s="23"/>
      <c r="I29" s="24"/>
    </row>
  </sheetData>
  <mergeCells count="4">
    <mergeCell ref="B2:I2"/>
    <mergeCell ref="B8:B9"/>
    <mergeCell ref="C8:E8"/>
    <mergeCell ref="F8:H8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12" t="str">
        <f>"CÁLCULO DO CUSTO DA EQUIPE TÉCNICA PARA O "&amp;'Valor da Contratação'!B7&amp;""</f>
        <v>CÁLCULO DO CUSTO DA EQUIPE TÉCNICA PARA O POLO XI</v>
      </c>
      <c r="C2" s="213"/>
      <c r="D2" s="213"/>
      <c r="E2" s="214"/>
    </row>
    <row r="3" spans="2:5" ht="15" customHeight="1">
      <c r="B3" s="1"/>
      <c r="C3" s="1"/>
      <c r="D3" s="1"/>
      <c r="E3" s="1"/>
    </row>
    <row r="4" spans="2:5" ht="45.75" customHeight="1">
      <c r="B4" s="215" t="s">
        <v>27</v>
      </c>
      <c r="C4" s="82" t="s">
        <v>28</v>
      </c>
      <c r="D4" s="82" t="s">
        <v>29</v>
      </c>
      <c r="E4" s="82" t="s">
        <v>30</v>
      </c>
    </row>
    <row r="5" spans="2:5" ht="20.100000000000001" customHeight="1">
      <c r="B5" s="215"/>
      <c r="C5" s="61">
        <v>101.99</v>
      </c>
      <c r="D5" s="61">
        <f>'Comp. Eng. Eletricista'!D11</f>
        <v>108.89875000000001</v>
      </c>
      <c r="E5" s="61">
        <v>27.29</v>
      </c>
    </row>
    <row r="6" spans="2:5" ht="20.100000000000001" customHeight="1">
      <c r="B6" s="62" t="s">
        <v>31</v>
      </c>
      <c r="C6" s="150">
        <v>80</v>
      </c>
      <c r="D6" s="150">
        <v>16</v>
      </c>
      <c r="E6" s="150">
        <v>80</v>
      </c>
    </row>
    <row r="7" spans="2:5" ht="20.100000000000001" customHeight="1">
      <c r="B7" s="62" t="s">
        <v>32</v>
      </c>
      <c r="C7" s="61">
        <f>C5*C6</f>
        <v>8159.2</v>
      </c>
      <c r="D7" s="61">
        <f>D5*D6</f>
        <v>1742.38</v>
      </c>
      <c r="E7" s="61">
        <f>E5*E6</f>
        <v>2183.1999999999998</v>
      </c>
    </row>
    <row r="8" spans="2:5" ht="20.100000000000001" customHeight="1">
      <c r="B8" s="62" t="s">
        <v>33</v>
      </c>
      <c r="C8" s="61">
        <f>C5*C6*12</f>
        <v>97910.399999999994</v>
      </c>
      <c r="D8" s="61">
        <f>D5*D6*12</f>
        <v>20908.560000000001</v>
      </c>
      <c r="E8" s="61">
        <f>E5*E6*12</f>
        <v>26198.399999999998</v>
      </c>
    </row>
    <row r="9" spans="2:5" ht="20.100000000000001" customHeight="1">
      <c r="B9" s="25" t="s">
        <v>276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16" t="s">
        <v>34</v>
      </c>
      <c r="C11" s="217"/>
      <c r="E11" s="26"/>
    </row>
    <row r="12" spans="2:5" ht="20.100000000000001" customHeight="1">
      <c r="B12" s="62" t="s">
        <v>35</v>
      </c>
      <c r="C12" s="61">
        <f>SUM(C7:E7)</f>
        <v>12084.779999999999</v>
      </c>
      <c r="E12" s="26"/>
    </row>
    <row r="13" spans="2:5" ht="20.100000000000001" customHeight="1">
      <c r="B13" s="62" t="s">
        <v>36</v>
      </c>
      <c r="C13" s="61">
        <f>SUM(C8:E8)</f>
        <v>145017.35999999999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29"/>
  <sheetViews>
    <sheetView showGridLines="0" zoomScale="110" zoomScaleNormal="110" workbookViewId="0">
      <selection activeCell="Z26" sqref="Z26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18" t="str">
        <f>"BASE "&amp;Resumo!B5&amp;" - PLANILHA DE FORMAÇÃO DE PREÇOS"</f>
        <v>BASE SANTA MARIA - PLANILHA DE FORMAÇÃO DE PREÇOS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20"/>
      <c r="P2" s="2"/>
      <c r="Q2" s="212" t="str">
        <f>"BASE "&amp;Resumo!B5&amp;" – PLANILHA DE DISTRIBUIÇÃO DE CUSTOS POR UNIDADE"</f>
        <v>BASE SANTA MARIA – PLANILHA DE DISTRIBUIÇÃO DE CUSTOS POR UNIDADE</v>
      </c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4"/>
      <c r="AH2" s="27"/>
      <c r="AI2" s="224" t="str">
        <f>"BASE "&amp;Resumo!B5&amp;" – PLANILHA RESUMO DE CUSTOS DA BASE"</f>
        <v>BASE SANTA MARIA – PLANILHA RESUMO DE CUSTOS DA BASE</v>
      </c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6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27" t="s">
        <v>37</v>
      </c>
      <c r="C4" s="227" t="s">
        <v>38</v>
      </c>
      <c r="D4" s="227"/>
      <c r="E4" s="227"/>
      <c r="F4" s="227"/>
      <c r="G4" s="227"/>
      <c r="H4" s="227" t="s">
        <v>39</v>
      </c>
      <c r="I4" s="227"/>
      <c r="J4" s="227"/>
      <c r="K4" s="227"/>
      <c r="L4" s="227"/>
      <c r="M4" s="227"/>
      <c r="N4" s="227"/>
      <c r="O4" s="227" t="s">
        <v>25</v>
      </c>
      <c r="P4" s="2"/>
      <c r="Q4" s="227" t="s">
        <v>40</v>
      </c>
      <c r="R4" s="228" t="s">
        <v>41</v>
      </c>
      <c r="S4" s="228"/>
      <c r="T4" s="228"/>
      <c r="U4" s="228"/>
      <c r="V4" s="228" t="s">
        <v>42</v>
      </c>
      <c r="W4" s="228"/>
      <c r="X4" s="228"/>
      <c r="Y4" s="228"/>
      <c r="Z4" s="228" t="s">
        <v>43</v>
      </c>
      <c r="AA4" s="228"/>
      <c r="AB4" s="228"/>
      <c r="AC4" s="228"/>
      <c r="AD4" s="228" t="s">
        <v>44</v>
      </c>
      <c r="AE4" s="228"/>
      <c r="AF4" s="228"/>
      <c r="AG4" s="228"/>
      <c r="AI4" s="227" t="s">
        <v>40</v>
      </c>
      <c r="AJ4" s="229" t="s">
        <v>45</v>
      </c>
      <c r="AK4" s="229"/>
      <c r="AL4" s="229"/>
      <c r="AM4" s="229"/>
      <c r="AN4" s="229"/>
      <c r="AO4" s="229" t="s">
        <v>46</v>
      </c>
      <c r="AP4" s="229"/>
      <c r="AQ4" s="229"/>
      <c r="AR4" s="29"/>
      <c r="AS4" s="229" t="str">
        <f>"Resumo de Custos da Base "&amp;Resumo!B5</f>
        <v>Resumo de Custos da Base SANTA MARIA</v>
      </c>
      <c r="AT4" s="229"/>
      <c r="AU4" s="229"/>
      <c r="AV4" s="229"/>
      <c r="AW4" s="229"/>
    </row>
    <row r="5" spans="2:49" ht="39.950000000000003" customHeight="1">
      <c r="B5" s="227"/>
      <c r="C5" s="77" t="s">
        <v>25</v>
      </c>
      <c r="D5" s="77" t="s">
        <v>47</v>
      </c>
      <c r="E5" s="77" t="s">
        <v>48</v>
      </c>
      <c r="F5" s="77" t="s">
        <v>49</v>
      </c>
      <c r="G5" s="227" t="s">
        <v>50</v>
      </c>
      <c r="H5" s="77" t="s">
        <v>51</v>
      </c>
      <c r="I5" s="77" t="s">
        <v>52</v>
      </c>
      <c r="J5" s="77" t="s">
        <v>53</v>
      </c>
      <c r="K5" s="77" t="s">
        <v>54</v>
      </c>
      <c r="L5" s="77" t="s">
        <v>55</v>
      </c>
      <c r="M5" s="77" t="s">
        <v>56</v>
      </c>
      <c r="N5" s="227" t="s">
        <v>57</v>
      </c>
      <c r="O5" s="227"/>
      <c r="P5" s="2"/>
      <c r="Q5" s="227"/>
      <c r="R5" s="77" t="s">
        <v>58</v>
      </c>
      <c r="S5" s="77" t="s">
        <v>59</v>
      </c>
      <c r="T5" s="77" t="s">
        <v>60</v>
      </c>
      <c r="U5" s="77" t="s">
        <v>61</v>
      </c>
      <c r="V5" s="227" t="s">
        <v>62</v>
      </c>
      <c r="W5" s="227" t="s">
        <v>63</v>
      </c>
      <c r="X5" s="227" t="s">
        <v>64</v>
      </c>
      <c r="Y5" s="227" t="s">
        <v>65</v>
      </c>
      <c r="Z5" s="221" t="s">
        <v>66</v>
      </c>
      <c r="AA5" s="222"/>
      <c r="AB5" s="223"/>
      <c r="AC5" s="77">
        <f>N24</f>
        <v>657.05000000000007</v>
      </c>
      <c r="AD5" s="228" t="s">
        <v>58</v>
      </c>
      <c r="AE5" s="228" t="s">
        <v>59</v>
      </c>
      <c r="AF5" s="228" t="s">
        <v>60</v>
      </c>
      <c r="AG5" s="228" t="s">
        <v>61</v>
      </c>
      <c r="AI5" s="227"/>
      <c r="AJ5" s="228" t="s">
        <v>67</v>
      </c>
      <c r="AK5" s="228" t="s">
        <v>58</v>
      </c>
      <c r="AL5" s="228" t="s">
        <v>59</v>
      </c>
      <c r="AM5" s="228" t="s">
        <v>60</v>
      </c>
      <c r="AN5" s="228" t="s">
        <v>61</v>
      </c>
      <c r="AO5" s="228" t="s">
        <v>68</v>
      </c>
      <c r="AP5" s="228" t="s">
        <v>69</v>
      </c>
      <c r="AQ5" s="228" t="s">
        <v>70</v>
      </c>
      <c r="AR5" s="27"/>
      <c r="AS5" s="228" t="s">
        <v>71</v>
      </c>
      <c r="AT5" s="83" t="s">
        <v>58</v>
      </c>
      <c r="AU5" s="83" t="s">
        <v>59</v>
      </c>
      <c r="AV5" s="83" t="s">
        <v>60</v>
      </c>
      <c r="AW5" s="83" t="s">
        <v>61</v>
      </c>
    </row>
    <row r="6" spans="2:49" ht="19.899999999999999" customHeight="1">
      <c r="B6" s="227"/>
      <c r="C6" s="78" t="s">
        <v>72</v>
      </c>
      <c r="D6" s="78">
        <v>1</v>
      </c>
      <c r="E6" s="78">
        <v>0.35</v>
      </c>
      <c r="F6" s="78">
        <v>0.1</v>
      </c>
      <c r="G6" s="227"/>
      <c r="H6" s="78">
        <v>1</v>
      </c>
      <c r="I6" s="78">
        <v>1.2</v>
      </c>
      <c r="J6" s="78">
        <v>2</v>
      </c>
      <c r="K6" s="78">
        <v>4</v>
      </c>
      <c r="L6" s="78">
        <v>1.1000000000000001</v>
      </c>
      <c r="M6" s="78">
        <v>1.1000000000000001</v>
      </c>
      <c r="N6" s="227"/>
      <c r="O6" s="227"/>
      <c r="P6" s="30"/>
      <c r="Q6" s="227"/>
      <c r="R6" s="78" t="s">
        <v>73</v>
      </c>
      <c r="S6" s="78" t="s">
        <v>74</v>
      </c>
      <c r="T6" s="78" t="s">
        <v>75</v>
      </c>
      <c r="U6" s="78" t="s">
        <v>76</v>
      </c>
      <c r="V6" s="227"/>
      <c r="W6" s="227"/>
      <c r="X6" s="227"/>
      <c r="Y6" s="227"/>
      <c r="Z6" s="72" t="s">
        <v>58</v>
      </c>
      <c r="AA6" s="72" t="s">
        <v>59</v>
      </c>
      <c r="AB6" s="72" t="s">
        <v>60</v>
      </c>
      <c r="AC6" s="72" t="s">
        <v>61</v>
      </c>
      <c r="AD6" s="228"/>
      <c r="AE6" s="228"/>
      <c r="AF6" s="228"/>
      <c r="AG6" s="228"/>
      <c r="AI6" s="227"/>
      <c r="AJ6" s="228"/>
      <c r="AK6" s="228"/>
      <c r="AL6" s="228"/>
      <c r="AM6" s="228"/>
      <c r="AN6" s="228"/>
      <c r="AO6" s="228"/>
      <c r="AP6" s="228"/>
      <c r="AQ6" s="228"/>
      <c r="AR6" s="31"/>
      <c r="AS6" s="228"/>
      <c r="AT6" s="72" t="s">
        <v>73</v>
      </c>
      <c r="AU6" s="72" t="s">
        <v>74</v>
      </c>
      <c r="AV6" s="72" t="s">
        <v>75</v>
      </c>
      <c r="AW6" s="72" t="s">
        <v>76</v>
      </c>
    </row>
    <row r="7" spans="2:49" s="5" customFormat="1" ht="15" customHeight="1">
      <c r="B7" s="48" t="s">
        <v>77</v>
      </c>
      <c r="C7" s="49">
        <f>VLOOKUP($B7,Unidades!$D$5:$N$21,6,FALSE())</f>
        <v>2867.83</v>
      </c>
      <c r="D7" s="49">
        <f>VLOOKUP($B7,Unidades!$D$5:$N$21,7,FALSE())</f>
        <v>1126.57</v>
      </c>
      <c r="E7" s="49">
        <f>VLOOKUP($B7,Unidades!$D$5:$N$21,8,FALSE())</f>
        <v>1050.92</v>
      </c>
      <c r="F7" s="49">
        <f>VLOOKUP($B7,Unidades!$D$5:$N$21,9,FALSE())</f>
        <v>690.34</v>
      </c>
      <c r="G7" s="49">
        <f t="shared" ref="G7:G22" si="0">D7+E7*$E$6+F7*$F$6</f>
        <v>1563.4259999999999</v>
      </c>
      <c r="H7" s="50">
        <f t="shared" ref="H7:H22" si="1">IF(G7&lt;750,1.5,IF(G7&lt;2000,2,3))</f>
        <v>2</v>
      </c>
      <c r="I7" s="50">
        <f t="shared" ref="I7:I22" si="2">$I$6*H7</f>
        <v>2.4</v>
      </c>
      <c r="J7" s="50" t="str">
        <f>VLOOKUP($B7,Unidades!$D$5:$N$21,10,FALSE())</f>
        <v>NÃO</v>
      </c>
      <c r="K7" s="50" t="str">
        <f>VLOOKUP($B7,Unidades!$D$5:$N$21,11,FALSE())</f>
        <v>SIM</v>
      </c>
      <c r="L7" s="50">
        <f t="shared" ref="L7:L22" si="3">$L$6*H7+(IF(J7="SIM",$J$6,0))</f>
        <v>2.2000000000000002</v>
      </c>
      <c r="M7" s="50">
        <f t="shared" ref="M7:M16" si="4">$M$6*H7+(IF(J7="SIM",$J$6,0))+(IF(K7="SIM",$K$6,0))</f>
        <v>6.2</v>
      </c>
      <c r="N7" s="50">
        <f t="shared" ref="N7:N16" si="5">H7*12+I7*4+L7*2+M7</f>
        <v>44.2</v>
      </c>
      <c r="O7" s="51">
        <f t="shared" ref="O7:O23" si="6">IF(K7="não", N7*(C$27+D$27),N7*(C$27+D$27)+(M7*+E$27))</f>
        <v>2182.9700000000003</v>
      </c>
      <c r="P7" s="32"/>
      <c r="Q7" s="53" t="str">
        <f t="shared" ref="Q7:Q23" si="7">B7</f>
        <v>APS BAGÉ</v>
      </c>
      <c r="R7" s="6">
        <f t="shared" ref="R7:R23" si="8">H7*($C$27+$D$27)</f>
        <v>90.240000000000009</v>
      </c>
      <c r="S7" s="6">
        <f t="shared" ref="S7:S23" si="9">I7*($C$27+$D$27)</f>
        <v>108.28800000000001</v>
      </c>
      <c r="T7" s="6">
        <f t="shared" ref="T7:T23" si="10">L7*($C$27+$D$27)</f>
        <v>99.264000000000024</v>
      </c>
      <c r="U7" s="6">
        <f t="shared" ref="U7:U23" si="11">IF(K7="não",M7*($C$27+$D$27),M7*(C$27+D$27+E$27))</f>
        <v>468.41000000000008</v>
      </c>
      <c r="V7" s="6">
        <f>VLOOKUP(Q7,'Desl. Base Santa Maria'!$C$5:$S$21,13,FALSE())*($C$27+$D$27+$E$27*(VLOOKUP(Q7,'Desl. Base Santa Maria'!$C$5:$S$21,17,FALSE())/12))</f>
        <v>180.69503472222223</v>
      </c>
      <c r="W7" s="6">
        <f>VLOOKUP(Q7,'Desl. Base Santa Maria'!$C$5:$S$21,15,FALSE())*(2+(VLOOKUP(Q7,'Desl. Base Santa Maria'!$C$5:$S$21,17,FALSE())/12))</f>
        <v>138.27083333333334</v>
      </c>
      <c r="X7" s="6">
        <f>VLOOKUP(Q7,'Desl. Base Santa Maria'!$C$5:$Q$21,14,FALSE())</f>
        <v>0</v>
      </c>
      <c r="Y7" s="6">
        <f>VLOOKUP(Q7,'Desl. Base Santa Maria'!$C$5:$Q$21,13,FALSE())*'Desl. Base Santa Maria'!$E$26+'Desl. Base Santa Maria'!$E$27*N7/12</f>
        <v>217.26791666666665</v>
      </c>
      <c r="Z7" s="6">
        <f>(H7/$AC$5)*'Equipe Técnica'!$C$13</f>
        <v>441.41955711133085</v>
      </c>
      <c r="AA7" s="6">
        <f>(I7/$AC$5)*'Equipe Técnica'!$C$13</f>
        <v>529.70346853359695</v>
      </c>
      <c r="AB7" s="6">
        <f>(L7/$AC$5)*'Equipe Técnica'!$C$13</f>
        <v>485.56151282246395</v>
      </c>
      <c r="AC7" s="6">
        <f>(M7/$AC$5)*'Equipe Técnica'!$C$13</f>
        <v>1368.4006270451257</v>
      </c>
      <c r="AD7" s="6">
        <f t="shared" ref="AD7:AD16" si="12">R7+(($V7+$W7+$X7+$Y7)*12/19)+$Z7</f>
        <v>870.33352640957651</v>
      </c>
      <c r="AE7" s="6">
        <f t="shared" ref="AE7:AE16" si="13">S7+(($V7+$W7+$X7+$Y7)*12/19)+$AA7</f>
        <v>976.66543783184261</v>
      </c>
      <c r="AF7" s="6">
        <f t="shared" ref="AF7:AF16" si="14">T7+(($V7+$W7+$X7+$Y7)*12/19)+$AB7</f>
        <v>923.49948212070967</v>
      </c>
      <c r="AG7" s="6">
        <f t="shared" ref="AG7:AG16" si="15">U7+(($V7+$W7+$X7+$Y7)*12/19)+$AC7</f>
        <v>2175.4845963433713</v>
      </c>
      <c r="AI7" s="53" t="str">
        <f t="shared" ref="AI7:AI22" si="16">B7</f>
        <v>APS BAGÉ</v>
      </c>
      <c r="AJ7" s="63">
        <f>VLOOKUP(AI7,Unidades!D$5:H$21,5,)</f>
        <v>0.29070000000000001</v>
      </c>
      <c r="AK7" s="61">
        <f t="shared" ref="AK7" si="17">AD7*(1+$AJ7)</f>
        <v>1123.3394825368403</v>
      </c>
      <c r="AL7" s="61">
        <f t="shared" ref="AL7" si="18">AE7*(1+$AJ7)</f>
        <v>1260.5820806095592</v>
      </c>
      <c r="AM7" s="61">
        <f t="shared" ref="AM7" si="19">AF7*(1+$AJ7)</f>
        <v>1191.9607815731999</v>
      </c>
      <c r="AN7" s="61">
        <f t="shared" ref="AN7" si="20">AG7*(1+$AJ7)</f>
        <v>2807.8979685003892</v>
      </c>
      <c r="AO7" s="61">
        <f t="shared" ref="AO7" si="21">((AK7*12)+(AL7*4)+(AM7*2)+AN7)/12</f>
        <v>1976.1851370439256</v>
      </c>
      <c r="AP7" s="61">
        <f t="shared" ref="AP7" si="22">AO7*3</f>
        <v>5928.555411131777</v>
      </c>
      <c r="AQ7" s="61">
        <f t="shared" ref="AQ7" si="23">AO7+AP7</f>
        <v>7904.7405481757023</v>
      </c>
      <c r="AR7" s="65"/>
      <c r="AS7" s="66" t="s">
        <v>78</v>
      </c>
      <c r="AT7" s="61">
        <f>AK24</f>
        <v>17554.238264622923</v>
      </c>
      <c r="AU7" s="61">
        <f>AL24</f>
        <v>19658.541475073998</v>
      </c>
      <c r="AV7" s="61">
        <f>AM24</f>
        <v>18606.389869848463</v>
      </c>
      <c r="AW7" s="61">
        <f>AN24</f>
        <v>36452.235837370077</v>
      </c>
    </row>
    <row r="8" spans="2:49" s="5" customFormat="1" ht="15" customHeight="1">
      <c r="B8" s="48" t="s">
        <v>79</v>
      </c>
      <c r="C8" s="49">
        <f>VLOOKUP($B8,Unidades!$D$5:$N$21,6,FALSE())</f>
        <v>471.71</v>
      </c>
      <c r="D8" s="49">
        <f>VLOOKUP($B8,Unidades!$D$5:$N$21,7,FALSE())</f>
        <v>399.44</v>
      </c>
      <c r="E8" s="49">
        <f>VLOOKUP($B8,Unidades!$D$5:$N$21,8,FALSE())</f>
        <v>72.27</v>
      </c>
      <c r="F8" s="49">
        <f>VLOOKUP($B8,Unidades!$D$5:$N$21,9,FALSE())</f>
        <v>0</v>
      </c>
      <c r="G8" s="49">
        <f t="shared" si="0"/>
        <v>424.73449999999997</v>
      </c>
      <c r="H8" s="50">
        <f t="shared" si="1"/>
        <v>1.5</v>
      </c>
      <c r="I8" s="50">
        <f t="shared" si="2"/>
        <v>1.7999999999999998</v>
      </c>
      <c r="J8" s="50" t="str">
        <f>VLOOKUP($B8,Unidades!$D$5:$N$21,10,FALSE())</f>
        <v>NÃO</v>
      </c>
      <c r="K8" s="50" t="str">
        <f>VLOOKUP($B8,Unidades!$D$5:$N$21,11,FALSE())</f>
        <v>NÃO</v>
      </c>
      <c r="L8" s="50">
        <f t="shared" si="3"/>
        <v>1.6500000000000001</v>
      </c>
      <c r="M8" s="50">
        <f t="shared" si="4"/>
        <v>1.6500000000000001</v>
      </c>
      <c r="N8" s="50">
        <f t="shared" si="5"/>
        <v>30.15</v>
      </c>
      <c r="O8" s="51">
        <f t="shared" si="6"/>
        <v>1360.3680000000002</v>
      </c>
      <c r="P8" s="32"/>
      <c r="Q8" s="53" t="str">
        <f t="shared" si="7"/>
        <v>APS CANGUÇU</v>
      </c>
      <c r="R8" s="6">
        <f t="shared" si="8"/>
        <v>67.680000000000007</v>
      </c>
      <c r="S8" s="6">
        <f t="shared" si="9"/>
        <v>81.215999999999994</v>
      </c>
      <c r="T8" s="6">
        <f t="shared" si="10"/>
        <v>74.448000000000008</v>
      </c>
      <c r="U8" s="6">
        <f t="shared" si="11"/>
        <v>74.448000000000008</v>
      </c>
      <c r="V8" s="6">
        <f>VLOOKUP(Q8,'Desl. Base Santa Maria'!$C$5:$S$21,13,FALSE())*($C$27+$D$27+$E$27*(VLOOKUP(Q8,'Desl. Base Santa Maria'!$C$5:$S$21,17,FALSE())/12))</f>
        <v>210.56000000000003</v>
      </c>
      <c r="W8" s="6">
        <f>VLOOKUP(Q8,'Desl. Base Santa Maria'!$C$5:$S$21,15,FALSE())*(2+(VLOOKUP(Q8,'Desl. Base Santa Maria'!$C$5:$S$21,17,FALSE())/12))</f>
        <v>132.74</v>
      </c>
      <c r="X8" s="6">
        <f>VLOOKUP(Q8,'Desl. Base Santa Maria'!$C$5:$Q$21,14,FALSE())</f>
        <v>0</v>
      </c>
      <c r="Y8" s="6">
        <f>VLOOKUP(Q8,'Desl. Base Santa Maria'!$C$5:$Q$21,13,FALSE())*'Desl. Base Santa Maria'!$E$26+'Desl. Base Santa Maria'!$E$27*N8/12</f>
        <v>253.361875</v>
      </c>
      <c r="Z8" s="6">
        <f>(H8/$AC$5)*'Equipe Técnica'!$C$13</f>
        <v>331.06466783349816</v>
      </c>
      <c r="AA8" s="6">
        <f>(I8/$AC$5)*'Equipe Técnica'!$C$13</f>
        <v>397.27760140019774</v>
      </c>
      <c r="AB8" s="6">
        <f>(L8/$AC$5)*'Equipe Técnica'!$C$13</f>
        <v>364.17113461684801</v>
      </c>
      <c r="AC8" s="6">
        <f>(M8/$AC$5)*'Equipe Técnica'!$C$13</f>
        <v>364.17113461684801</v>
      </c>
      <c r="AD8" s="6">
        <f t="shared" si="12"/>
        <v>775.58374678086659</v>
      </c>
      <c r="AE8" s="6">
        <f t="shared" si="13"/>
        <v>855.33268034756611</v>
      </c>
      <c r="AF8" s="6">
        <f t="shared" si="14"/>
        <v>815.45821356421641</v>
      </c>
      <c r="AG8" s="6">
        <f t="shared" si="15"/>
        <v>815.45821356421641</v>
      </c>
      <c r="AI8" s="53" t="str">
        <f t="shared" si="16"/>
        <v>APS CANGUÇU</v>
      </c>
      <c r="AJ8" s="63">
        <f>VLOOKUP(AI8,Unidades!D$5:H$21,5,)</f>
        <v>0.28349999999999997</v>
      </c>
      <c r="AK8" s="61">
        <f t="shared" ref="AK8:AK23" si="24">AD8*(1+$AJ8)</f>
        <v>995.46173899324231</v>
      </c>
      <c r="AL8" s="61">
        <f t="shared" ref="AL8:AL23" si="25">AE8*(1+$AJ8)</f>
        <v>1097.8194952261013</v>
      </c>
      <c r="AM8" s="61">
        <f t="shared" ref="AM8:AM23" si="26">AF8*(1+$AJ8)</f>
        <v>1046.6406171096719</v>
      </c>
      <c r="AN8" s="61">
        <f t="shared" ref="AN8:AN23" si="27">AG8*(1+$AJ8)</f>
        <v>1046.6406171096719</v>
      </c>
      <c r="AO8" s="61">
        <f t="shared" ref="AO8:AO23" si="28">((AK8*12)+(AL8*4)+(AM8*2)+AN8)/12</f>
        <v>1623.0617250126941</v>
      </c>
      <c r="AP8" s="61">
        <f t="shared" ref="AP8:AP23" si="29">AO8*3</f>
        <v>4869.185175038082</v>
      </c>
      <c r="AQ8" s="61">
        <f t="shared" ref="AQ8:AQ23" si="30">AO8+AP8</f>
        <v>6492.2469000507763</v>
      </c>
      <c r="AR8" s="65"/>
      <c r="AS8" s="66" t="s">
        <v>80</v>
      </c>
      <c r="AT8" s="61">
        <f>AT7*12</f>
        <v>210650.85917547508</v>
      </c>
      <c r="AU8" s="61">
        <f>AU7*4</f>
        <v>78634.165900295993</v>
      </c>
      <c r="AV8" s="61">
        <f>AV7*2</f>
        <v>37212.779739696925</v>
      </c>
      <c r="AW8" s="61">
        <f>AW7</f>
        <v>36452.235837370077</v>
      </c>
    </row>
    <row r="9" spans="2:49" s="5" customFormat="1" ht="15" customHeight="1">
      <c r="B9" s="48" t="s">
        <v>81</v>
      </c>
      <c r="C9" s="49">
        <f>VLOOKUP($B9,Unidades!$D$5:$N$21,6,FALSE())</f>
        <v>334.4</v>
      </c>
      <c r="D9" s="49">
        <f>VLOOKUP($B9,Unidades!$D$5:$N$21,7,FALSE())</f>
        <v>296</v>
      </c>
      <c r="E9" s="49">
        <f>VLOOKUP($B9,Unidades!$D$5:$N$21,8,FALSE())</f>
        <v>38.4</v>
      </c>
      <c r="F9" s="49">
        <f>VLOOKUP($B9,Unidades!$D$5:$N$21,9,FALSE())</f>
        <v>0</v>
      </c>
      <c r="G9" s="49">
        <f t="shared" si="0"/>
        <v>309.44</v>
      </c>
      <c r="H9" s="50">
        <f t="shared" si="1"/>
        <v>1.5</v>
      </c>
      <c r="I9" s="50">
        <f t="shared" si="2"/>
        <v>1.7999999999999998</v>
      </c>
      <c r="J9" s="50" t="str">
        <f>VLOOKUP($B9,Unidades!$D$5:$N$21,10,FALSE())</f>
        <v>NÃO</v>
      </c>
      <c r="K9" s="50" t="str">
        <f>VLOOKUP($B9,Unidades!$D$5:$N$21,11,FALSE())</f>
        <v>NÃO</v>
      </c>
      <c r="L9" s="50">
        <f t="shared" si="3"/>
        <v>1.6500000000000001</v>
      </c>
      <c r="M9" s="50">
        <f t="shared" si="4"/>
        <v>1.6500000000000001</v>
      </c>
      <c r="N9" s="50">
        <f t="shared" si="5"/>
        <v>30.15</v>
      </c>
      <c r="O9" s="51">
        <f t="shared" si="6"/>
        <v>1360.3680000000002</v>
      </c>
      <c r="P9" s="32"/>
      <c r="Q9" s="53" t="str">
        <f t="shared" si="7"/>
        <v>APS PIRATINI</v>
      </c>
      <c r="R9" s="6">
        <f t="shared" si="8"/>
        <v>67.680000000000007</v>
      </c>
      <c r="S9" s="6">
        <f t="shared" si="9"/>
        <v>81.215999999999994</v>
      </c>
      <c r="T9" s="6">
        <f t="shared" si="10"/>
        <v>74.448000000000008</v>
      </c>
      <c r="U9" s="6">
        <f t="shared" si="11"/>
        <v>74.448000000000008</v>
      </c>
      <c r="V9" s="6">
        <f>VLOOKUP(Q9,'Desl. Base Santa Maria'!$C$5:$S$21,13,FALSE())*($C$27+$D$27+$E$27*(VLOOKUP(Q9,'Desl. Base Santa Maria'!$C$5:$S$21,17,FALSE())/12))</f>
        <v>210.56000000000003</v>
      </c>
      <c r="W9" s="6">
        <f>VLOOKUP(Q9,'Desl. Base Santa Maria'!$C$5:$S$21,15,FALSE())*(2+(VLOOKUP(Q9,'Desl. Base Santa Maria'!$C$5:$S$21,17,FALSE())/12))</f>
        <v>132.74</v>
      </c>
      <c r="X9" s="6">
        <f>VLOOKUP(Q9,'Desl. Base Santa Maria'!$C$5:$Q$21,14,FALSE())</f>
        <v>0</v>
      </c>
      <c r="Y9" s="6">
        <f>VLOOKUP(Q9,'Desl. Base Santa Maria'!$C$5:$Q$21,13,FALSE())*'Desl. Base Santa Maria'!$E$26+'Desl. Base Santa Maria'!$E$27*N9/12</f>
        <v>253.361875</v>
      </c>
      <c r="Z9" s="6">
        <f>(H9/$AC$5)*'Equipe Técnica'!$C$13</f>
        <v>331.06466783349816</v>
      </c>
      <c r="AA9" s="6">
        <f>(I9/$AC$5)*'Equipe Técnica'!$C$13</f>
        <v>397.27760140019774</v>
      </c>
      <c r="AB9" s="6">
        <f>(L9/$AC$5)*'Equipe Técnica'!$C$13</f>
        <v>364.17113461684801</v>
      </c>
      <c r="AC9" s="6">
        <f>(M9/$AC$5)*'Equipe Técnica'!$C$13</f>
        <v>364.17113461684801</v>
      </c>
      <c r="AD9" s="6">
        <f t="shared" si="12"/>
        <v>775.58374678086659</v>
      </c>
      <c r="AE9" s="6">
        <f t="shared" si="13"/>
        <v>855.33268034756611</v>
      </c>
      <c r="AF9" s="6">
        <f t="shared" si="14"/>
        <v>815.45821356421641</v>
      </c>
      <c r="AG9" s="6">
        <f t="shared" si="15"/>
        <v>815.45821356421641</v>
      </c>
      <c r="AI9" s="53" t="str">
        <f t="shared" si="16"/>
        <v>APS PIRATINI</v>
      </c>
      <c r="AJ9" s="63">
        <f>VLOOKUP(AI9,Unidades!D$5:H$21,5,)</f>
        <v>0.28349999999999997</v>
      </c>
      <c r="AK9" s="61">
        <f t="shared" si="24"/>
        <v>995.46173899324231</v>
      </c>
      <c r="AL9" s="61">
        <f t="shared" si="25"/>
        <v>1097.8194952261013</v>
      </c>
      <c r="AM9" s="61">
        <f t="shared" si="26"/>
        <v>1046.6406171096719</v>
      </c>
      <c r="AN9" s="61">
        <f t="shared" si="27"/>
        <v>1046.6406171096719</v>
      </c>
      <c r="AO9" s="61">
        <f t="shared" si="28"/>
        <v>1623.0617250126941</v>
      </c>
      <c r="AP9" s="61">
        <f t="shared" si="29"/>
        <v>4869.185175038082</v>
      </c>
      <c r="AQ9" s="61">
        <f t="shared" si="30"/>
        <v>6492.2469000507763</v>
      </c>
      <c r="AR9" s="65"/>
      <c r="AS9" s="65"/>
      <c r="AT9" s="64"/>
      <c r="AU9" s="64"/>
      <c r="AV9" s="64"/>
      <c r="AW9" s="64"/>
    </row>
    <row r="10" spans="2:49" s="5" customFormat="1" ht="15" customHeight="1">
      <c r="B10" s="48" t="s">
        <v>82</v>
      </c>
      <c r="C10" s="49">
        <f>VLOOKUP($B10,Unidades!$D$5:$N$21,6,FALSE())</f>
        <v>412.55</v>
      </c>
      <c r="D10" s="49">
        <f>VLOOKUP($B10,Unidades!$D$5:$N$21,7,FALSE())</f>
        <v>270.13</v>
      </c>
      <c r="E10" s="49">
        <f>VLOOKUP($B10,Unidades!$D$5:$N$21,8,FALSE())</f>
        <v>76.78</v>
      </c>
      <c r="F10" s="49">
        <f>VLOOKUP($B10,Unidades!$D$5:$N$21,9,FALSE())</f>
        <v>65.64</v>
      </c>
      <c r="G10" s="49">
        <f t="shared" si="0"/>
        <v>303.56700000000001</v>
      </c>
      <c r="H10" s="50">
        <f t="shared" si="1"/>
        <v>1.5</v>
      </c>
      <c r="I10" s="50">
        <f t="shared" si="2"/>
        <v>1.7999999999999998</v>
      </c>
      <c r="J10" s="50" t="str">
        <f>VLOOKUP($B10,Unidades!$D$5:$N$21,10,FALSE())</f>
        <v>NÃO</v>
      </c>
      <c r="K10" s="50" t="str">
        <f>VLOOKUP($B10,Unidades!$D$5:$N$21,11,FALSE())</f>
        <v>NÃO</v>
      </c>
      <c r="L10" s="50">
        <f t="shared" si="3"/>
        <v>1.6500000000000001</v>
      </c>
      <c r="M10" s="50">
        <f t="shared" si="4"/>
        <v>1.6500000000000001</v>
      </c>
      <c r="N10" s="50">
        <f t="shared" si="5"/>
        <v>30.15</v>
      </c>
      <c r="O10" s="51">
        <f t="shared" si="6"/>
        <v>1360.3680000000002</v>
      </c>
      <c r="P10" s="32"/>
      <c r="Q10" s="53" t="str">
        <f t="shared" si="7"/>
        <v>APS CAÇAPAVA DO SUL</v>
      </c>
      <c r="R10" s="6">
        <f t="shared" si="8"/>
        <v>67.680000000000007</v>
      </c>
      <c r="S10" s="6">
        <f t="shared" si="9"/>
        <v>81.215999999999994</v>
      </c>
      <c r="T10" s="6">
        <f t="shared" si="10"/>
        <v>74.448000000000008</v>
      </c>
      <c r="U10" s="6">
        <f t="shared" si="11"/>
        <v>74.448000000000008</v>
      </c>
      <c r="V10" s="6">
        <f>VLOOKUP(Q10,'Desl. Base Santa Maria'!$C$5:$S$21,13,FALSE())*($C$27+$D$27+$E$27*(VLOOKUP(Q10,'Desl. Base Santa Maria'!$C$5:$S$21,17,FALSE())/12))</f>
        <v>168.44800000000001</v>
      </c>
      <c r="W10" s="6">
        <f>VLOOKUP(Q10,'Desl. Base Santa Maria'!$C$5:$S$21,15,FALSE())*(2+(VLOOKUP(Q10,'Desl. Base Santa Maria'!$C$5:$S$21,17,FALSE())/12))</f>
        <v>132.74</v>
      </c>
      <c r="X10" s="6">
        <f>VLOOKUP(Q10,'Desl. Base Santa Maria'!$C$5:$Q$21,14,FALSE())</f>
        <v>0</v>
      </c>
      <c r="Y10" s="6">
        <f>VLOOKUP(Q10,'Desl. Base Santa Maria'!$C$5:$Q$21,13,FALSE())*'Desl. Base Santa Maria'!$E$26+'Desl. Base Santa Maria'!$E$27*N10/12</f>
        <v>206.18187499999999</v>
      </c>
      <c r="Z10" s="6">
        <f>(H10/$AC$5)*'Equipe Técnica'!$C$13</f>
        <v>331.06466783349816</v>
      </c>
      <c r="AA10" s="6">
        <f>(I10/$AC$5)*'Equipe Técnica'!$C$13</f>
        <v>397.27760140019774</v>
      </c>
      <c r="AB10" s="6">
        <f>(L10/$AC$5)*'Equipe Técnica'!$C$13</f>
        <v>364.17113461684801</v>
      </c>
      <c r="AC10" s="6">
        <f>(M10/$AC$5)*'Equipe Técnica'!$C$13</f>
        <v>364.17113461684801</v>
      </c>
      <c r="AD10" s="6">
        <f t="shared" si="12"/>
        <v>719.18879941244563</v>
      </c>
      <c r="AE10" s="6">
        <f t="shared" si="13"/>
        <v>798.93773297914515</v>
      </c>
      <c r="AF10" s="6">
        <f t="shared" si="14"/>
        <v>759.06326619579545</v>
      </c>
      <c r="AG10" s="6">
        <f t="shared" si="15"/>
        <v>759.06326619579545</v>
      </c>
      <c r="AI10" s="53" t="str">
        <f t="shared" si="16"/>
        <v>APS CAÇAPAVA DO SUL</v>
      </c>
      <c r="AJ10" s="63">
        <f>VLOOKUP(AI10,Unidades!D$5:H$21,5,)</f>
        <v>0.30530000000000002</v>
      </c>
      <c r="AK10" s="61">
        <f t="shared" si="24"/>
        <v>938.75713987306517</v>
      </c>
      <c r="AL10" s="61">
        <f t="shared" si="25"/>
        <v>1042.8534228576782</v>
      </c>
      <c r="AM10" s="61">
        <f t="shared" si="26"/>
        <v>990.80528136537168</v>
      </c>
      <c r="AN10" s="61">
        <f t="shared" si="27"/>
        <v>990.80528136537168</v>
      </c>
      <c r="AO10" s="61">
        <f t="shared" si="28"/>
        <v>1534.0762678336341</v>
      </c>
      <c r="AP10" s="61">
        <f t="shared" si="29"/>
        <v>4602.2288035009024</v>
      </c>
      <c r="AQ10" s="61">
        <f t="shared" si="30"/>
        <v>6136.3050713345365</v>
      </c>
      <c r="AR10" s="65"/>
      <c r="AS10" s="86" t="s">
        <v>68</v>
      </c>
      <c r="AT10" s="230">
        <f>(SUM(AT8:AW8))/12</f>
        <v>30245.836721069845</v>
      </c>
      <c r="AU10" s="230"/>
      <c r="AV10" s="64"/>
      <c r="AW10" s="64"/>
    </row>
    <row r="11" spans="2:49" s="5" customFormat="1" ht="15" customHeight="1">
      <c r="B11" s="48" t="s">
        <v>83</v>
      </c>
      <c r="C11" s="49">
        <f>VLOOKUP($B11,Unidades!$D$5:$N$21,6,FALSE())</f>
        <v>530.17999999999995</v>
      </c>
      <c r="D11" s="49">
        <f>VLOOKUP($B11,Unidades!$D$5:$N$21,7,FALSE())</f>
        <v>229.74</v>
      </c>
      <c r="E11" s="49">
        <f>VLOOKUP($B11,Unidades!$D$5:$N$21,8,FALSE())</f>
        <v>300.44</v>
      </c>
      <c r="F11" s="49">
        <f>VLOOKUP($B11,Unidades!$D$5:$N$21,9,FALSE())</f>
        <v>0</v>
      </c>
      <c r="G11" s="49">
        <f t="shared" si="0"/>
        <v>334.89400000000001</v>
      </c>
      <c r="H11" s="50">
        <f t="shared" si="1"/>
        <v>1.5</v>
      </c>
      <c r="I11" s="50">
        <f t="shared" si="2"/>
        <v>1.7999999999999998</v>
      </c>
      <c r="J11" s="50" t="str">
        <f>VLOOKUP($B11,Unidades!$D$5:$N$21,10,FALSE())</f>
        <v>NÃO</v>
      </c>
      <c r="K11" s="50" t="str">
        <f>VLOOKUP($B11,Unidades!$D$5:$N$21,11,FALSE())</f>
        <v>NÃO</v>
      </c>
      <c r="L11" s="50">
        <f t="shared" si="3"/>
        <v>1.6500000000000001</v>
      </c>
      <c r="M11" s="50">
        <f t="shared" si="4"/>
        <v>1.6500000000000001</v>
      </c>
      <c r="N11" s="50">
        <f t="shared" si="5"/>
        <v>30.15</v>
      </c>
      <c r="O11" s="51">
        <f t="shared" si="6"/>
        <v>1360.3680000000002</v>
      </c>
      <c r="P11" s="32"/>
      <c r="Q11" s="53" t="str">
        <f t="shared" si="7"/>
        <v>APS CACEQUI</v>
      </c>
      <c r="R11" s="6">
        <f t="shared" si="8"/>
        <v>67.680000000000007</v>
      </c>
      <c r="S11" s="6">
        <f t="shared" si="9"/>
        <v>81.215999999999994</v>
      </c>
      <c r="T11" s="6">
        <f t="shared" si="10"/>
        <v>74.448000000000008</v>
      </c>
      <c r="U11" s="6">
        <f t="shared" si="11"/>
        <v>74.448000000000008</v>
      </c>
      <c r="V11" s="6">
        <f>VLOOKUP(Q11,'Desl. Base Santa Maria'!$C$5:$S$21,13,FALSE())*($C$27+$D$27+$E$27*(VLOOKUP(Q11,'Desl. Base Santa Maria'!$C$5:$S$21,17,FALSE())/12))</f>
        <v>117.94818750000002</v>
      </c>
      <c r="W11" s="6">
        <f>VLOOKUP(Q11,'Desl. Base Santa Maria'!$C$5:$S$21,15,FALSE())*(2+(VLOOKUP(Q11,'Desl. Base Santa Maria'!$C$5:$S$21,17,FALSE())/12))</f>
        <v>0</v>
      </c>
      <c r="X11" s="6">
        <f>VLOOKUP(Q11,'Desl. Base Santa Maria'!$C$5:$Q$21,14,FALSE())</f>
        <v>0</v>
      </c>
      <c r="Y11" s="6">
        <f>VLOOKUP(Q11,'Desl. Base Santa Maria'!$C$5:$Q$21,13,FALSE())*'Desl. Base Santa Maria'!$E$26+'Desl. Base Santa Maria'!$E$27*N11/12</f>
        <v>142.573125</v>
      </c>
      <c r="Z11" s="6">
        <f>(H11/$AC$5)*'Equipe Técnica'!$C$13</f>
        <v>331.06466783349816</v>
      </c>
      <c r="AA11" s="6">
        <f>(I11/$AC$5)*'Equipe Técnica'!$C$13</f>
        <v>397.27760140019774</v>
      </c>
      <c r="AB11" s="6">
        <f>(L11/$AC$5)*'Equipe Técnica'!$C$13</f>
        <v>364.17113461684801</v>
      </c>
      <c r="AC11" s="6">
        <f>(M11/$AC$5)*'Equipe Técnica'!$C$13</f>
        <v>364.17113461684801</v>
      </c>
      <c r="AD11" s="6">
        <f t="shared" si="12"/>
        <v>563.28444414928765</v>
      </c>
      <c r="AE11" s="6">
        <f t="shared" si="13"/>
        <v>643.03337771598717</v>
      </c>
      <c r="AF11" s="6">
        <f t="shared" si="14"/>
        <v>603.15891093263747</v>
      </c>
      <c r="AG11" s="6">
        <f t="shared" si="15"/>
        <v>603.15891093263747</v>
      </c>
      <c r="AI11" s="53" t="str">
        <f t="shared" si="16"/>
        <v>APS CACEQUI</v>
      </c>
      <c r="AJ11" s="63">
        <f>VLOOKUP(AI11,Unidades!D$5:H$21,5,)</f>
        <v>0.2979</v>
      </c>
      <c r="AK11" s="61">
        <f t="shared" si="24"/>
        <v>731.08688006136049</v>
      </c>
      <c r="AL11" s="61">
        <f t="shared" si="25"/>
        <v>834.59302093757981</v>
      </c>
      <c r="AM11" s="61">
        <f t="shared" si="26"/>
        <v>782.83995049947021</v>
      </c>
      <c r="AN11" s="61">
        <f t="shared" si="27"/>
        <v>782.83995049947021</v>
      </c>
      <c r="AO11" s="61">
        <f t="shared" si="28"/>
        <v>1204.9945413320879</v>
      </c>
      <c r="AP11" s="61">
        <f t="shared" si="29"/>
        <v>3614.9836239962638</v>
      </c>
      <c r="AQ11" s="61">
        <f t="shared" si="30"/>
        <v>4819.9781653283517</v>
      </c>
      <c r="AR11" s="65"/>
      <c r="AS11" s="86" t="s">
        <v>84</v>
      </c>
      <c r="AT11" s="230">
        <f>AT10*12</f>
        <v>362950.04065283813</v>
      </c>
      <c r="AU11" s="230"/>
      <c r="AV11" s="64"/>
      <c r="AW11" s="64"/>
    </row>
    <row r="12" spans="2:49" s="5" customFormat="1" ht="15" customHeight="1">
      <c r="B12" s="48" t="s">
        <v>85</v>
      </c>
      <c r="C12" s="49">
        <f>VLOOKUP($B12,Unidades!$D$5:$N$21,6,FALSE())</f>
        <v>1534.01</v>
      </c>
      <c r="D12" s="49">
        <f>VLOOKUP($B12,Unidades!$D$5:$N$21,7,FALSE())</f>
        <v>790.63</v>
      </c>
      <c r="E12" s="49">
        <f>VLOOKUP($B12,Unidades!$D$5:$N$21,8,FALSE())</f>
        <v>0</v>
      </c>
      <c r="F12" s="49">
        <f>VLOOKUP($B12,Unidades!$D$5:$N$21,9,FALSE())</f>
        <v>1788.58</v>
      </c>
      <c r="G12" s="49">
        <f t="shared" si="0"/>
        <v>969.48800000000006</v>
      </c>
      <c r="H12" s="50">
        <f t="shared" si="1"/>
        <v>2</v>
      </c>
      <c r="I12" s="50">
        <f t="shared" si="2"/>
        <v>2.4</v>
      </c>
      <c r="J12" s="50" t="str">
        <f>VLOOKUP($B12,Unidades!$D$5:$N$21,10,FALSE())</f>
        <v>NÃO</v>
      </c>
      <c r="K12" s="50" t="str">
        <f>VLOOKUP($B12,Unidades!$D$5:$N$21,11,FALSE())</f>
        <v>SIM</v>
      </c>
      <c r="L12" s="50">
        <f t="shared" si="3"/>
        <v>2.2000000000000002</v>
      </c>
      <c r="M12" s="50">
        <f t="shared" si="4"/>
        <v>6.2</v>
      </c>
      <c r="N12" s="50">
        <f t="shared" si="5"/>
        <v>44.2</v>
      </c>
      <c r="O12" s="51">
        <f t="shared" si="6"/>
        <v>2182.9700000000003</v>
      </c>
      <c r="P12" s="32"/>
      <c r="Q12" s="53" t="str">
        <f t="shared" si="7"/>
        <v>APS CACHOEIRA DO SUL</v>
      </c>
      <c r="R12" s="6">
        <f t="shared" si="8"/>
        <v>90.240000000000009</v>
      </c>
      <c r="S12" s="6">
        <f t="shared" si="9"/>
        <v>108.28800000000001</v>
      </c>
      <c r="T12" s="6">
        <f t="shared" si="10"/>
        <v>99.264000000000024</v>
      </c>
      <c r="U12" s="6">
        <f t="shared" si="11"/>
        <v>468.41000000000008</v>
      </c>
      <c r="V12" s="6">
        <f>VLOOKUP(Q12,'Desl. Base Santa Maria'!$C$5:$S$21,13,FALSE())*($C$27+$D$27+$E$27*(VLOOKUP(Q12,'Desl. Base Santa Maria'!$C$5:$S$21,17,FALSE())/12))</f>
        <v>131.45067361111114</v>
      </c>
      <c r="W12" s="6">
        <f>VLOOKUP(Q12,'Desl. Base Santa Maria'!$C$5:$S$21,15,FALSE())*(2+(VLOOKUP(Q12,'Desl. Base Santa Maria'!$C$5:$S$21,17,FALSE())/12))</f>
        <v>138.27083333333334</v>
      </c>
      <c r="X12" s="6">
        <f>VLOOKUP(Q12,'Desl. Base Santa Maria'!$C$5:$Q$21,14,FALSE())</f>
        <v>8.6</v>
      </c>
      <c r="Y12" s="6">
        <f>VLOOKUP(Q12,'Desl. Base Santa Maria'!$C$5:$Q$21,13,FALSE())*'Desl. Base Santa Maria'!$E$26+'Desl. Base Santa Maria'!$E$27*N12/12</f>
        <v>165.03291666666667</v>
      </c>
      <c r="Z12" s="6">
        <f>(H12/$AC$5)*'Equipe Técnica'!$C$13</f>
        <v>441.41955711133085</v>
      </c>
      <c r="AA12" s="6">
        <f>(I12/$AC$5)*'Equipe Técnica'!$C$13</f>
        <v>529.70346853359695</v>
      </c>
      <c r="AB12" s="6">
        <f>(L12/$AC$5)*'Equipe Técnica'!$C$13</f>
        <v>485.56151282246395</v>
      </c>
      <c r="AC12" s="6">
        <f>(M12/$AC$5)*'Equipe Técnica'!$C$13</f>
        <v>1368.4006270451257</v>
      </c>
      <c r="AD12" s="6">
        <f t="shared" si="12"/>
        <v>811.67287728676956</v>
      </c>
      <c r="AE12" s="6">
        <f t="shared" si="13"/>
        <v>918.00478870903567</v>
      </c>
      <c r="AF12" s="6">
        <f t="shared" si="14"/>
        <v>864.83883299790261</v>
      </c>
      <c r="AG12" s="6">
        <f t="shared" si="15"/>
        <v>2116.8239472205642</v>
      </c>
      <c r="AI12" s="53" t="str">
        <f t="shared" si="16"/>
        <v>APS CACHOEIRA DO SUL</v>
      </c>
      <c r="AJ12" s="63">
        <f>VLOOKUP(AI12,Unidades!D$5:H$21,5,)</f>
        <v>0.28349999999999997</v>
      </c>
      <c r="AK12" s="61">
        <f t="shared" si="24"/>
        <v>1041.7821379975687</v>
      </c>
      <c r="AL12" s="61">
        <f t="shared" si="25"/>
        <v>1178.2591463080473</v>
      </c>
      <c r="AM12" s="61">
        <f t="shared" si="26"/>
        <v>1110.020642152808</v>
      </c>
      <c r="AN12" s="61">
        <f t="shared" si="27"/>
        <v>2716.9435362575941</v>
      </c>
      <c r="AO12" s="61">
        <f t="shared" si="28"/>
        <v>1845.9505884805185</v>
      </c>
      <c r="AP12" s="61">
        <f t="shared" si="29"/>
        <v>5537.8517654415555</v>
      </c>
      <c r="AQ12" s="61">
        <f t="shared" si="30"/>
        <v>7383.802353922074</v>
      </c>
      <c r="AR12" s="65"/>
      <c r="AS12" s="86" t="s">
        <v>69</v>
      </c>
      <c r="AT12" s="230">
        <f>AT10*3</f>
        <v>90737.510163209532</v>
      </c>
      <c r="AU12" s="230"/>
      <c r="AV12" s="65"/>
      <c r="AW12" s="65"/>
    </row>
    <row r="13" spans="2:49" s="5" customFormat="1" ht="15" customHeight="1">
      <c r="B13" s="48" t="s">
        <v>86</v>
      </c>
      <c r="C13" s="49">
        <f>VLOOKUP($B13,Unidades!$D$5:$N$21,6,FALSE())</f>
        <v>334.4</v>
      </c>
      <c r="D13" s="49">
        <f>VLOOKUP($B13,Unidades!$D$5:$N$21,7,FALSE())</f>
        <v>296</v>
      </c>
      <c r="E13" s="49">
        <f>VLOOKUP($B13,Unidades!$D$5:$N$21,8,FALSE())</f>
        <v>38.4</v>
      </c>
      <c r="F13" s="49">
        <f>VLOOKUP($B13,Unidades!$D$5:$N$21,9,FALSE())</f>
        <v>0</v>
      </c>
      <c r="G13" s="49">
        <f t="shared" si="0"/>
        <v>309.44</v>
      </c>
      <c r="H13" s="50">
        <f t="shared" si="1"/>
        <v>1.5</v>
      </c>
      <c r="I13" s="50">
        <f t="shared" si="2"/>
        <v>1.7999999999999998</v>
      </c>
      <c r="J13" s="50" t="str">
        <f>VLOOKUP($B13,Unidades!$D$5:$N$21,10,FALSE())</f>
        <v>NÃO</v>
      </c>
      <c r="K13" s="50" t="str">
        <f>VLOOKUP($B13,Unidades!$D$5:$N$21,11,FALSE())</f>
        <v>NÃO</v>
      </c>
      <c r="L13" s="50">
        <f t="shared" si="3"/>
        <v>1.6500000000000001</v>
      </c>
      <c r="M13" s="50">
        <f t="shared" si="4"/>
        <v>1.6500000000000001</v>
      </c>
      <c r="N13" s="50">
        <f t="shared" si="5"/>
        <v>30.15</v>
      </c>
      <c r="O13" s="51">
        <f t="shared" si="6"/>
        <v>1360.3680000000002</v>
      </c>
      <c r="P13" s="32"/>
      <c r="Q13" s="53" t="str">
        <f t="shared" si="7"/>
        <v>APS ENCRUZILHADA DO SUL</v>
      </c>
      <c r="R13" s="6">
        <f t="shared" si="8"/>
        <v>67.680000000000007</v>
      </c>
      <c r="S13" s="6">
        <f t="shared" si="9"/>
        <v>81.215999999999994</v>
      </c>
      <c r="T13" s="6">
        <f t="shared" si="10"/>
        <v>74.448000000000008</v>
      </c>
      <c r="U13" s="6">
        <f t="shared" si="11"/>
        <v>74.448000000000008</v>
      </c>
      <c r="V13" s="6">
        <f>VLOOKUP(Q13,'Desl. Base Santa Maria'!$C$5:$S$21,13,FALSE())*($C$27+$D$27+$E$27*(VLOOKUP(Q13,'Desl. Base Santa Maria'!$C$5:$S$21,17,FALSE())/12))</f>
        <v>168.44800000000001</v>
      </c>
      <c r="W13" s="6">
        <f>VLOOKUP(Q13,'Desl. Base Santa Maria'!$C$5:$S$21,15,FALSE())*(2+(VLOOKUP(Q13,'Desl. Base Santa Maria'!$C$5:$S$21,17,FALSE())/12))</f>
        <v>132.74</v>
      </c>
      <c r="X13" s="6">
        <f>VLOOKUP(Q13,'Desl. Base Santa Maria'!$C$5:$Q$21,14,FALSE())</f>
        <v>0</v>
      </c>
      <c r="Y13" s="6">
        <f>VLOOKUP(Q13,'Desl. Base Santa Maria'!$C$5:$Q$21,13,FALSE())*'Desl. Base Santa Maria'!$E$26+'Desl. Base Santa Maria'!$E$27*N13/12</f>
        <v>206.18187499999999</v>
      </c>
      <c r="Z13" s="6">
        <f>(H13/$AC$5)*'Equipe Técnica'!$C$13</f>
        <v>331.06466783349816</v>
      </c>
      <c r="AA13" s="6">
        <f>(I13/$AC$5)*'Equipe Técnica'!$C$13</f>
        <v>397.27760140019774</v>
      </c>
      <c r="AB13" s="6">
        <f>(L13/$AC$5)*'Equipe Técnica'!$C$13</f>
        <v>364.17113461684801</v>
      </c>
      <c r="AC13" s="6">
        <f>(M13/$AC$5)*'Equipe Técnica'!$C$13</f>
        <v>364.17113461684801</v>
      </c>
      <c r="AD13" s="6">
        <f t="shared" si="12"/>
        <v>719.18879941244563</v>
      </c>
      <c r="AE13" s="6">
        <f t="shared" si="13"/>
        <v>798.93773297914515</v>
      </c>
      <c r="AF13" s="6">
        <f t="shared" si="14"/>
        <v>759.06326619579545</v>
      </c>
      <c r="AG13" s="6">
        <f t="shared" si="15"/>
        <v>759.06326619579545</v>
      </c>
      <c r="AI13" s="53" t="str">
        <f t="shared" si="16"/>
        <v>APS ENCRUZILHADA DO SUL</v>
      </c>
      <c r="AJ13" s="63">
        <f>VLOOKUP(AI13,Unidades!D$5:H$21,5,)</f>
        <v>0.32779999999999998</v>
      </c>
      <c r="AK13" s="61">
        <f t="shared" si="24"/>
        <v>954.93888785984518</v>
      </c>
      <c r="AL13" s="61">
        <f t="shared" si="25"/>
        <v>1060.8295218497087</v>
      </c>
      <c r="AM13" s="61">
        <f t="shared" si="26"/>
        <v>1007.8842048547771</v>
      </c>
      <c r="AN13" s="61">
        <f t="shared" si="27"/>
        <v>1007.8842048547771</v>
      </c>
      <c r="AO13" s="61">
        <f t="shared" si="28"/>
        <v>1560.5197796901091</v>
      </c>
      <c r="AP13" s="61">
        <f t="shared" si="29"/>
        <v>4681.559339070327</v>
      </c>
      <c r="AQ13" s="61">
        <f t="shared" si="30"/>
        <v>6242.0791187604364</v>
      </c>
      <c r="AR13" s="65"/>
      <c r="AS13" s="86" t="s">
        <v>87</v>
      </c>
      <c r="AT13" s="230">
        <f>AT12*12</f>
        <v>1088850.1219585144</v>
      </c>
      <c r="AU13" s="230"/>
      <c r="AV13" s="64"/>
      <c r="AW13" s="64"/>
    </row>
    <row r="14" spans="2:49" s="5" customFormat="1" ht="15" customHeight="1">
      <c r="B14" s="48" t="s">
        <v>88</v>
      </c>
      <c r="C14" s="49">
        <f>VLOOKUP($B14,Unidades!$D$5:$N$21,6,FALSE())</f>
        <v>1256.19</v>
      </c>
      <c r="D14" s="49">
        <f>VLOOKUP($B14,Unidades!$D$5:$N$21,7,FALSE())</f>
        <v>361.15</v>
      </c>
      <c r="E14" s="49">
        <f>VLOOKUP($B14,Unidades!$D$5:$N$21,8,FALSE())</f>
        <v>533.91999999999996</v>
      </c>
      <c r="F14" s="49">
        <f>VLOOKUP($B14,Unidades!$D$5:$N$21,9,FALSE())</f>
        <v>361.12</v>
      </c>
      <c r="G14" s="49">
        <f t="shared" si="0"/>
        <v>584.1339999999999</v>
      </c>
      <c r="H14" s="50">
        <f t="shared" si="1"/>
        <v>1.5</v>
      </c>
      <c r="I14" s="50">
        <f t="shared" si="2"/>
        <v>1.7999999999999998</v>
      </c>
      <c r="J14" s="50" t="str">
        <f>VLOOKUP($B14,Unidades!$D$5:$N$21,10,FALSE())</f>
        <v>NÃO</v>
      </c>
      <c r="K14" s="50" t="str">
        <f>VLOOKUP($B14,Unidades!$D$5:$N$21,11,FALSE())</f>
        <v>SIM</v>
      </c>
      <c r="L14" s="50">
        <f t="shared" si="3"/>
        <v>1.6500000000000001</v>
      </c>
      <c r="M14" s="50">
        <f t="shared" si="4"/>
        <v>5.65</v>
      </c>
      <c r="N14" s="50">
        <f t="shared" si="5"/>
        <v>34.15</v>
      </c>
      <c r="O14" s="51">
        <f t="shared" si="6"/>
        <v>1712.7775000000001</v>
      </c>
      <c r="P14" s="32"/>
      <c r="Q14" s="53" t="str">
        <f t="shared" si="7"/>
        <v>APS RIO PARDO</v>
      </c>
      <c r="R14" s="6">
        <f t="shared" si="8"/>
        <v>67.680000000000007</v>
      </c>
      <c r="S14" s="6">
        <f t="shared" si="9"/>
        <v>81.215999999999994</v>
      </c>
      <c r="T14" s="6">
        <f t="shared" si="10"/>
        <v>74.448000000000008</v>
      </c>
      <c r="U14" s="6">
        <f t="shared" si="11"/>
        <v>426.85750000000007</v>
      </c>
      <c r="V14" s="6">
        <f>VLOOKUP(Q14,'Desl. Base Santa Maria'!$C$5:$S$21,13,FALSE())*($C$27+$D$27+$E$27*(VLOOKUP(Q14,'Desl. Base Santa Maria'!$C$5:$S$21,17,FALSE())/12))</f>
        <v>131.45067361111114</v>
      </c>
      <c r="W14" s="6">
        <f>VLOOKUP(Q14,'Desl. Base Santa Maria'!$C$5:$S$21,15,FALSE())*(2+(VLOOKUP(Q14,'Desl. Base Santa Maria'!$C$5:$S$21,17,FALSE())/12))</f>
        <v>138.27083333333334</v>
      </c>
      <c r="X14" s="6">
        <f>VLOOKUP(Q14,'Desl. Base Santa Maria'!$C$5:$Q$21,14,FALSE())</f>
        <v>8.6</v>
      </c>
      <c r="Y14" s="6">
        <f>VLOOKUP(Q14,'Desl. Base Santa Maria'!$C$5:$Q$21,13,FALSE())*'Desl. Base Santa Maria'!$E$26+'Desl. Base Santa Maria'!$E$27*N14/12</f>
        <v>159.21229166666666</v>
      </c>
      <c r="Z14" s="6">
        <f>(H14/$AC$5)*'Equipe Técnica'!$C$13</f>
        <v>331.06466783349816</v>
      </c>
      <c r="AA14" s="6">
        <f>(I14/$AC$5)*'Equipe Técnica'!$C$13</f>
        <v>397.27760140019774</v>
      </c>
      <c r="AB14" s="6">
        <f>(L14/$AC$5)*'Equipe Técnica'!$C$13</f>
        <v>364.17113461684801</v>
      </c>
      <c r="AC14" s="6">
        <f>(M14/$AC$5)*'Equipe Técnica'!$C$13</f>
        <v>1247.0102488395098</v>
      </c>
      <c r="AD14" s="6">
        <f t="shared" si="12"/>
        <v>675.08180379841042</v>
      </c>
      <c r="AE14" s="6">
        <f t="shared" si="13"/>
        <v>754.83073736511005</v>
      </c>
      <c r="AF14" s="6">
        <f t="shared" si="14"/>
        <v>714.95627058176035</v>
      </c>
      <c r="AG14" s="6">
        <f t="shared" si="15"/>
        <v>1950.2048848044221</v>
      </c>
      <c r="AI14" s="53" t="str">
        <f t="shared" si="16"/>
        <v>APS RIO PARDO</v>
      </c>
      <c r="AJ14" s="63">
        <f>VLOOKUP(AI14,Unidades!D$5:H$21,5,)</f>
        <v>0.28349999999999997</v>
      </c>
      <c r="AK14" s="61">
        <f t="shared" si="24"/>
        <v>866.46749517525984</v>
      </c>
      <c r="AL14" s="61">
        <f t="shared" si="25"/>
        <v>968.82525140811879</v>
      </c>
      <c r="AM14" s="61">
        <f t="shared" si="26"/>
        <v>917.64637329168943</v>
      </c>
      <c r="AN14" s="61">
        <f t="shared" si="27"/>
        <v>2503.0879696464758</v>
      </c>
      <c r="AO14" s="61">
        <f t="shared" si="28"/>
        <v>1550.9409719971206</v>
      </c>
      <c r="AP14" s="61">
        <f t="shared" si="29"/>
        <v>4652.8229159913617</v>
      </c>
      <c r="AQ14" s="61">
        <f t="shared" si="30"/>
        <v>6203.7638879884826</v>
      </c>
      <c r="AR14" s="65"/>
      <c r="AS14" s="86" t="s">
        <v>89</v>
      </c>
      <c r="AT14" s="230">
        <f>AT10+AT12</f>
        <v>120983.34688427938</v>
      </c>
      <c r="AU14" s="230"/>
      <c r="AV14" s="64"/>
      <c r="AW14" s="64"/>
    </row>
    <row r="15" spans="2:49" s="5" customFormat="1" ht="15" customHeight="1">
      <c r="B15" s="48" t="s">
        <v>90</v>
      </c>
      <c r="C15" s="49">
        <f>VLOOKUP($B15,Unidades!$D$5:$N$21,6,FALSE())</f>
        <v>1041.3699999999999</v>
      </c>
      <c r="D15" s="49">
        <f>VLOOKUP($B15,Unidades!$D$5:$N$21,7,FALSE())</f>
        <v>371.92</v>
      </c>
      <c r="E15" s="49">
        <f>VLOOKUP($B15,Unidades!$D$5:$N$21,8,FALSE())</f>
        <v>483.13</v>
      </c>
      <c r="F15" s="49">
        <f>VLOOKUP($B15,Unidades!$D$5:$N$21,9,FALSE())</f>
        <v>186.32</v>
      </c>
      <c r="G15" s="49">
        <f t="shared" si="0"/>
        <v>559.64749999999992</v>
      </c>
      <c r="H15" s="50">
        <f t="shared" si="1"/>
        <v>1.5</v>
      </c>
      <c r="I15" s="50">
        <f t="shared" si="2"/>
        <v>1.7999999999999998</v>
      </c>
      <c r="J15" s="50" t="str">
        <f>VLOOKUP($B15,Unidades!$D$5:$N$21,10,FALSE())</f>
        <v>NÃO</v>
      </c>
      <c r="K15" s="50" t="str">
        <f>VLOOKUP($B15,Unidades!$D$5:$N$21,11,FALSE())</f>
        <v>SIM</v>
      </c>
      <c r="L15" s="50">
        <f t="shared" si="3"/>
        <v>1.6500000000000001</v>
      </c>
      <c r="M15" s="50">
        <f t="shared" si="4"/>
        <v>5.65</v>
      </c>
      <c r="N15" s="50">
        <f t="shared" si="5"/>
        <v>34.15</v>
      </c>
      <c r="O15" s="51">
        <f t="shared" si="6"/>
        <v>1712.7775000000001</v>
      </c>
      <c r="P15" s="32"/>
      <c r="Q15" s="53" t="str">
        <f t="shared" si="7"/>
        <v>APS Santiago</v>
      </c>
      <c r="R15" s="6">
        <f t="shared" si="8"/>
        <v>67.680000000000007</v>
      </c>
      <c r="S15" s="6">
        <f t="shared" si="9"/>
        <v>81.215999999999994</v>
      </c>
      <c r="T15" s="6">
        <f t="shared" si="10"/>
        <v>74.448000000000008</v>
      </c>
      <c r="U15" s="6">
        <f t="shared" si="11"/>
        <v>426.85750000000007</v>
      </c>
      <c r="V15" s="6">
        <f>VLOOKUP(Q15,'Desl. Base Santa Maria'!$C$5:$S$21,13,FALSE())*($C$27+$D$27+$E$27*(VLOOKUP(Q15,'Desl. Base Santa Maria'!$C$5:$S$21,17,FALSE())/12))</f>
        <v>117.94818750000002</v>
      </c>
      <c r="W15" s="6">
        <f>VLOOKUP(Q15,'Desl. Base Santa Maria'!$C$5:$S$21,15,FALSE())*(2+(VLOOKUP(Q15,'Desl. Base Santa Maria'!$C$5:$S$21,17,FALSE())/12))</f>
        <v>0</v>
      </c>
      <c r="X15" s="6">
        <f>VLOOKUP(Q15,'Desl. Base Santa Maria'!$C$5:$Q$21,14,FALSE())</f>
        <v>0</v>
      </c>
      <c r="Y15" s="6">
        <f>VLOOKUP(Q15,'Desl. Base Santa Maria'!$C$5:$Q$21,13,FALSE())*'Desl. Base Santa Maria'!$E$26+'Desl. Base Santa Maria'!$E$27*N15/12</f>
        <v>144.88979166666667</v>
      </c>
      <c r="Z15" s="6">
        <f>(H15/$AC$5)*'Equipe Técnica'!$C$13</f>
        <v>331.06466783349816</v>
      </c>
      <c r="AA15" s="6">
        <f>(I15/$AC$5)*'Equipe Técnica'!$C$13</f>
        <v>397.27760140019774</v>
      </c>
      <c r="AB15" s="6">
        <f>(L15/$AC$5)*'Equipe Técnica'!$C$13</f>
        <v>364.17113461684801</v>
      </c>
      <c r="AC15" s="6">
        <f>(M15/$AC$5)*'Equipe Técnica'!$C$13</f>
        <v>1247.0102488395098</v>
      </c>
      <c r="AD15" s="6">
        <f t="shared" si="12"/>
        <v>564.74760204402446</v>
      </c>
      <c r="AE15" s="6">
        <f t="shared" si="13"/>
        <v>644.4965356107241</v>
      </c>
      <c r="AF15" s="6">
        <f t="shared" si="14"/>
        <v>604.62206882737439</v>
      </c>
      <c r="AG15" s="6">
        <f t="shared" si="15"/>
        <v>1839.8706830500362</v>
      </c>
      <c r="AI15" s="53" t="str">
        <f t="shared" si="16"/>
        <v>APS Santiago</v>
      </c>
      <c r="AJ15" s="63">
        <f>VLOOKUP(AI15,Unidades!D$5:H$21,5,)</f>
        <v>0.2979</v>
      </c>
      <c r="AK15" s="61">
        <f t="shared" si="24"/>
        <v>732.98591269293934</v>
      </c>
      <c r="AL15" s="61">
        <f t="shared" si="25"/>
        <v>836.49205356915888</v>
      </c>
      <c r="AM15" s="61">
        <f t="shared" si="26"/>
        <v>784.73898313104928</v>
      </c>
      <c r="AN15" s="61">
        <f t="shared" si="27"/>
        <v>2387.968159530642</v>
      </c>
      <c r="AO15" s="61">
        <f t="shared" si="28"/>
        <v>1341.6037743653872</v>
      </c>
      <c r="AP15" s="61">
        <f t="shared" si="29"/>
        <v>4024.8113230961617</v>
      </c>
      <c r="AQ15" s="61">
        <f t="shared" si="30"/>
        <v>5366.4150974615486</v>
      </c>
      <c r="AR15" s="65"/>
      <c r="AS15" s="86" t="s">
        <v>91</v>
      </c>
      <c r="AT15" s="230">
        <f>AT11+AT13</f>
        <v>1451800.1626113525</v>
      </c>
      <c r="AU15" s="230"/>
      <c r="AV15" s="65"/>
      <c r="AW15" s="65"/>
    </row>
    <row r="16" spans="2:49" s="5" customFormat="1" ht="15" customHeight="1">
      <c r="B16" s="48" t="s">
        <v>92</v>
      </c>
      <c r="C16" s="49">
        <f>VLOOKUP($B16,Unidades!$D$5:$N$21,6,FALSE())</f>
        <v>3230.72</v>
      </c>
      <c r="D16" s="49">
        <f>VLOOKUP($B16,Unidades!$D$5:$N$21,7,FALSE())</f>
        <v>1889.72</v>
      </c>
      <c r="E16" s="49">
        <f>VLOOKUP($B16,Unidades!$D$5:$N$21,8,FALSE())</f>
        <v>1225.83</v>
      </c>
      <c r="F16" s="49">
        <f>VLOOKUP($B16,Unidades!$D$5:$N$21,9,FALSE())</f>
        <v>115.17</v>
      </c>
      <c r="G16" s="49">
        <f t="shared" si="0"/>
        <v>2330.2774999999997</v>
      </c>
      <c r="H16" s="50">
        <f t="shared" si="1"/>
        <v>3</v>
      </c>
      <c r="I16" s="50">
        <f t="shared" si="2"/>
        <v>3.5999999999999996</v>
      </c>
      <c r="J16" s="50" t="str">
        <f>VLOOKUP($B16,Unidades!$D$5:$N$21,10,FALSE())</f>
        <v>NÃO</v>
      </c>
      <c r="K16" s="50" t="str">
        <f>VLOOKUP($B16,Unidades!$D$5:$N$21,11,FALSE())</f>
        <v>SIM</v>
      </c>
      <c r="L16" s="50">
        <f t="shared" si="3"/>
        <v>3.3000000000000003</v>
      </c>
      <c r="M16" s="50">
        <f t="shared" si="4"/>
        <v>7.3000000000000007</v>
      </c>
      <c r="N16" s="50">
        <f t="shared" si="5"/>
        <v>64.3</v>
      </c>
      <c r="O16" s="51">
        <f t="shared" si="6"/>
        <v>3123.3550000000005</v>
      </c>
      <c r="P16" s="32"/>
      <c r="Q16" s="53" t="str">
        <f t="shared" si="7"/>
        <v>GEX/APS SANTA MARIA</v>
      </c>
      <c r="R16" s="6">
        <f t="shared" si="8"/>
        <v>135.36000000000001</v>
      </c>
      <c r="S16" s="6">
        <f t="shared" si="9"/>
        <v>162.43199999999999</v>
      </c>
      <c r="T16" s="6">
        <f t="shared" si="10"/>
        <v>148.89600000000002</v>
      </c>
      <c r="U16" s="6">
        <f t="shared" si="11"/>
        <v>551.5150000000001</v>
      </c>
      <c r="V16" s="6">
        <f>VLOOKUP(Q16,'Desl. Base Santa Maria'!$C$5:$S$21,13,FALSE())*($C$27+$D$27+$E$27*(VLOOKUP(Q16,'Desl. Base Santa Maria'!$C$5:$S$21,17,FALSE())/12))</f>
        <v>0</v>
      </c>
      <c r="W16" s="6">
        <f>VLOOKUP(Q16,'Desl. Base Santa Maria'!$C$5:$S$21,15,FALSE())*(2+(VLOOKUP(Q16,'Desl. Base Santa Maria'!$C$5:$S$21,17,FALSE())/12))</f>
        <v>0</v>
      </c>
      <c r="X16" s="6">
        <f>VLOOKUP(Q16,'Desl. Base Santa Maria'!$C$5:$Q$21,14,FALSE())</f>
        <v>0</v>
      </c>
      <c r="Y16" s="6">
        <f>VLOOKUP(Q16,'Desl. Base Santa Maria'!$C$5:$Q$21,13,FALSE())*'Desl. Base Santa Maria'!$E$26+'Desl. Base Santa Maria'!$E$27*N16/12</f>
        <v>37.240416666666668</v>
      </c>
      <c r="Z16" s="6">
        <f>(H16/$AC$5)*'Equipe Técnica'!$C$13</f>
        <v>662.12933566699633</v>
      </c>
      <c r="AA16" s="6">
        <f>(I16/$AC$5)*'Equipe Técnica'!$C$13</f>
        <v>794.55520280039548</v>
      </c>
      <c r="AB16" s="6">
        <f>(L16/$AC$5)*'Equipe Técnica'!$C$13</f>
        <v>728.34226923369602</v>
      </c>
      <c r="AC16" s="6">
        <f>(M16/$AC$5)*'Equipe Técnica'!$C$13</f>
        <v>1611.1813834563577</v>
      </c>
      <c r="AD16" s="6">
        <f t="shared" si="12"/>
        <v>821.0095988248911</v>
      </c>
      <c r="AE16" s="6">
        <f t="shared" si="13"/>
        <v>980.50746595829014</v>
      </c>
      <c r="AF16" s="6">
        <f t="shared" si="14"/>
        <v>900.75853239159073</v>
      </c>
      <c r="AG16" s="6">
        <f t="shared" si="15"/>
        <v>2186.2166466142526</v>
      </c>
      <c r="AI16" s="53" t="str">
        <f t="shared" si="16"/>
        <v>GEX/APS SANTA MARIA</v>
      </c>
      <c r="AJ16" s="63">
        <f>VLOOKUP(AI16,Unidades!D$5:H$21,5,)</f>
        <v>0.30530000000000002</v>
      </c>
      <c r="AK16" s="61">
        <f t="shared" si="24"/>
        <v>1071.6638293461303</v>
      </c>
      <c r="AL16" s="61">
        <f t="shared" si="25"/>
        <v>1279.8563953153559</v>
      </c>
      <c r="AM16" s="61">
        <f t="shared" si="26"/>
        <v>1175.7601123307434</v>
      </c>
      <c r="AN16" s="61">
        <f t="shared" si="27"/>
        <v>2853.6685888255838</v>
      </c>
      <c r="AO16" s="61">
        <f t="shared" si="28"/>
        <v>1932.0483622418385</v>
      </c>
      <c r="AP16" s="61">
        <f t="shared" si="29"/>
        <v>5796.1450867255153</v>
      </c>
      <c r="AQ16" s="61">
        <f t="shared" si="30"/>
        <v>7728.193448967354</v>
      </c>
      <c r="AR16" s="65"/>
      <c r="AS16" s="65"/>
      <c r="AT16" s="65"/>
      <c r="AU16" s="65"/>
      <c r="AV16" s="65"/>
      <c r="AW16" s="65"/>
    </row>
    <row r="17" spans="2:49" s="5" customFormat="1" ht="15" customHeight="1">
      <c r="B17" s="48" t="s">
        <v>93</v>
      </c>
      <c r="C17" s="49">
        <f>VLOOKUP($B17,Unidades!$D$5:$N$21,6,FALSE())</f>
        <v>1614.75</v>
      </c>
      <c r="D17" s="49">
        <f>VLOOKUP($B17,Unidades!$D$5:$N$21,7,FALSE())</f>
        <v>801.07</v>
      </c>
      <c r="E17" s="49">
        <f>VLOOKUP($B17,Unidades!$D$5:$N$21,8,FALSE())</f>
        <v>813.68</v>
      </c>
      <c r="F17" s="49">
        <f>VLOOKUP($B17,Unidades!$D$5:$N$21,9,FALSE())</f>
        <v>0</v>
      </c>
      <c r="G17" s="49">
        <f t="shared" si="0"/>
        <v>1085.8579999999999</v>
      </c>
      <c r="H17" s="50">
        <f t="shared" si="1"/>
        <v>2</v>
      </c>
      <c r="I17" s="50">
        <f t="shared" si="2"/>
        <v>2.4</v>
      </c>
      <c r="J17" s="50" t="str">
        <f>VLOOKUP($B17,Unidades!$D$5:$N$21,10,FALSE())</f>
        <v>NÃO</v>
      </c>
      <c r="K17" s="50" t="str">
        <f>VLOOKUP($B17,Unidades!$D$5:$N$21,11,FALSE())</f>
        <v>SIM</v>
      </c>
      <c r="L17" s="50">
        <f t="shared" si="3"/>
        <v>2.2000000000000002</v>
      </c>
      <c r="M17" s="50">
        <f t="shared" ref="M17:M22" si="31">$M$6*H17+(IF(J17="SIM",$J$6,0))+(IF(K17="SIM",$K$6,0))</f>
        <v>6.2</v>
      </c>
      <c r="N17" s="50">
        <f t="shared" ref="N17:N22" si="32">H17*12+I17*4+L17*2+M17</f>
        <v>44.2</v>
      </c>
      <c r="O17" s="51">
        <f t="shared" si="6"/>
        <v>2182.9700000000003</v>
      </c>
      <c r="P17" s="32"/>
      <c r="Q17" s="53" t="str">
        <f t="shared" si="7"/>
        <v>APS ALEGRETE</v>
      </c>
      <c r="R17" s="6">
        <f t="shared" si="8"/>
        <v>90.240000000000009</v>
      </c>
      <c r="S17" s="6">
        <f t="shared" si="9"/>
        <v>108.28800000000001</v>
      </c>
      <c r="T17" s="6">
        <f t="shared" si="10"/>
        <v>99.264000000000024</v>
      </c>
      <c r="U17" s="6">
        <f t="shared" si="11"/>
        <v>468.41000000000008</v>
      </c>
      <c r="V17" s="6">
        <f>VLOOKUP(Q17,'Desl. Base Santa Maria'!$C$5:$S$21,13,FALSE())*($C$27+$D$27+$E$27*(VLOOKUP(Q17,'Desl. Base Santa Maria'!$C$5:$S$21,17,FALSE())/12))</f>
        <v>293.87763888888895</v>
      </c>
      <c r="W17" s="6">
        <f>VLOOKUP(Q17,'Desl. Base Santa Maria'!$C$5:$S$21,15,FALSE())*(2+(VLOOKUP(Q17,'Desl. Base Santa Maria'!$C$5:$S$21,17,FALSE())/12))</f>
        <v>276.54166666666669</v>
      </c>
      <c r="X17" s="6">
        <f>VLOOKUP(Q17,'Desl. Base Santa Maria'!$C$5:$Q$21,14,FALSE())</f>
        <v>25.8</v>
      </c>
      <c r="Y17" s="6">
        <f>VLOOKUP(Q17,'Desl. Base Santa Maria'!$C$5:$Q$21,13,FALSE())*'Desl. Base Santa Maria'!$E$26+'Desl. Base Santa Maria'!$E$27*N17/12</f>
        <v>337.32416666666671</v>
      </c>
      <c r="Z17" s="6">
        <f>(H17/$AC$5)*'Equipe Técnica'!$C$13</f>
        <v>441.41955711133085</v>
      </c>
      <c r="AA17" s="6">
        <f>(I17/$AC$5)*'Equipe Técnica'!$C$13</f>
        <v>529.70346853359695</v>
      </c>
      <c r="AB17" s="6">
        <f>(L17/$AC$5)*'Equipe Técnica'!$C$13</f>
        <v>485.56151282246395</v>
      </c>
      <c r="AC17" s="6">
        <f>(M17/$AC$5)*'Equipe Técnica'!$C$13</f>
        <v>1368.4006270451257</v>
      </c>
      <c r="AD17" s="6">
        <f t="shared" ref="AD17:AD22" si="33">R17+(($V17+$W17+$X17+$Y17)*12/19)+$Z17</f>
        <v>1121.2659606201028</v>
      </c>
      <c r="AE17" s="6">
        <f t="shared" ref="AE17:AE22" si="34">S17+(($V17+$W17+$X17+$Y17)*12/19)+$AA17</f>
        <v>1227.5978720423691</v>
      </c>
      <c r="AF17" s="6">
        <f t="shared" ref="AF17:AF22" si="35">T17+(($V17+$W17+$X17+$Y17)*12/19)+$AB17</f>
        <v>1174.4319163312359</v>
      </c>
      <c r="AG17" s="6">
        <f t="shared" ref="AG17:AG22" si="36">U17+(($V17+$W17+$X17+$Y17)*12/19)+$AC17</f>
        <v>2426.4170305538978</v>
      </c>
      <c r="AI17" s="53" t="str">
        <f t="shared" si="16"/>
        <v>APS ALEGRETE</v>
      </c>
      <c r="AJ17" s="63">
        <f>VLOOKUP(AI17,Unidades!D$5:H$21,5,)</f>
        <v>0.2979</v>
      </c>
      <c r="AK17" s="61">
        <f t="shared" si="24"/>
        <v>1455.2910902888314</v>
      </c>
      <c r="AL17" s="61">
        <f t="shared" si="25"/>
        <v>1593.2992781237908</v>
      </c>
      <c r="AM17" s="61">
        <f t="shared" si="26"/>
        <v>1524.2951842063112</v>
      </c>
      <c r="AN17" s="61">
        <f t="shared" si="27"/>
        <v>3149.2466639559043</v>
      </c>
      <c r="AO17" s="61">
        <f t="shared" si="28"/>
        <v>2502.8772690274723</v>
      </c>
      <c r="AP17" s="61">
        <f t="shared" si="29"/>
        <v>7508.6318070824163</v>
      </c>
      <c r="AQ17" s="61">
        <f t="shared" si="30"/>
        <v>10011.509076109889</v>
      </c>
      <c r="AR17" s="65"/>
      <c r="AS17" s="65"/>
      <c r="AT17" s="65"/>
      <c r="AU17" s="65"/>
      <c r="AV17" s="65"/>
      <c r="AW17" s="65"/>
    </row>
    <row r="18" spans="2:49" s="5" customFormat="1" ht="15" customHeight="1">
      <c r="B18" s="48" t="s">
        <v>94</v>
      </c>
      <c r="C18" s="49">
        <f>VLOOKUP($B18,Unidades!$D$5:$N$21,6,FALSE())</f>
        <v>1259.19</v>
      </c>
      <c r="D18" s="49">
        <f>VLOOKUP($B18,Unidades!$D$5:$N$21,7,FALSE())</f>
        <v>544.01</v>
      </c>
      <c r="E18" s="49">
        <f>VLOOKUP($B18,Unidades!$D$5:$N$21,8,FALSE())</f>
        <v>715.18</v>
      </c>
      <c r="F18" s="49">
        <f>VLOOKUP($B18,Unidades!$D$5:$N$21,9,FALSE())</f>
        <v>0</v>
      </c>
      <c r="G18" s="49">
        <f t="shared" si="0"/>
        <v>794.32299999999998</v>
      </c>
      <c r="H18" s="50">
        <f t="shared" si="1"/>
        <v>2</v>
      </c>
      <c r="I18" s="50">
        <f t="shared" si="2"/>
        <v>2.4</v>
      </c>
      <c r="J18" s="50" t="str">
        <f>VLOOKUP($B18,Unidades!$D$5:$N$21,10,FALSE())</f>
        <v>NÃO</v>
      </c>
      <c r="K18" s="50" t="str">
        <f>VLOOKUP($B18,Unidades!$D$5:$N$21,11,FALSE())</f>
        <v>SIM</v>
      </c>
      <c r="L18" s="50">
        <f t="shared" si="3"/>
        <v>2.2000000000000002</v>
      </c>
      <c r="M18" s="50">
        <f t="shared" si="31"/>
        <v>6.2</v>
      </c>
      <c r="N18" s="50">
        <f t="shared" si="32"/>
        <v>44.2</v>
      </c>
      <c r="O18" s="51">
        <f t="shared" si="6"/>
        <v>2182.9700000000003</v>
      </c>
      <c r="P18" s="32"/>
      <c r="Q18" s="53" t="str">
        <f t="shared" si="7"/>
        <v>APS DOM PEDRITO</v>
      </c>
      <c r="R18" s="6">
        <f t="shared" si="8"/>
        <v>90.240000000000009</v>
      </c>
      <c r="S18" s="6">
        <f t="shared" si="9"/>
        <v>108.28800000000001</v>
      </c>
      <c r="T18" s="6">
        <f t="shared" si="10"/>
        <v>99.264000000000024</v>
      </c>
      <c r="U18" s="6">
        <f t="shared" si="11"/>
        <v>468.41000000000008</v>
      </c>
      <c r="V18" s="6">
        <f>VLOOKUP(Q18,'Desl. Base Santa Maria'!$C$5:$S$21,13,FALSE())*($C$27+$D$27+$E$27*(VLOOKUP(Q18,'Desl. Base Santa Maria'!$C$5:$S$21,17,FALSE())/12))</f>
        <v>180.69503472222223</v>
      </c>
      <c r="W18" s="6">
        <f>VLOOKUP(Q18,'Desl. Base Santa Maria'!$C$5:$S$21,15,FALSE())*(2+(VLOOKUP(Q18,'Desl. Base Santa Maria'!$C$5:$S$21,17,FALSE())/12))</f>
        <v>138.27083333333334</v>
      </c>
      <c r="X18" s="6">
        <f>VLOOKUP(Q18,'Desl. Base Santa Maria'!$C$5:$Q$21,14,FALSE())</f>
        <v>0</v>
      </c>
      <c r="Y18" s="6">
        <f>VLOOKUP(Q18,'Desl. Base Santa Maria'!$C$5:$Q$21,13,FALSE())*'Desl. Base Santa Maria'!$E$26+'Desl. Base Santa Maria'!$E$27*N18/12</f>
        <v>217.26791666666665</v>
      </c>
      <c r="Z18" s="6">
        <f>(H18/$AC$5)*'Equipe Técnica'!$C$13</f>
        <v>441.41955711133085</v>
      </c>
      <c r="AA18" s="6">
        <f>(I18/$AC$5)*'Equipe Técnica'!$C$13</f>
        <v>529.70346853359695</v>
      </c>
      <c r="AB18" s="6">
        <f>(L18/$AC$5)*'Equipe Técnica'!$C$13</f>
        <v>485.56151282246395</v>
      </c>
      <c r="AC18" s="6">
        <f>(M18/$AC$5)*'Equipe Técnica'!$C$13</f>
        <v>1368.4006270451257</v>
      </c>
      <c r="AD18" s="6">
        <f t="shared" si="33"/>
        <v>870.33352640957651</v>
      </c>
      <c r="AE18" s="6">
        <f t="shared" si="34"/>
        <v>976.66543783184261</v>
      </c>
      <c r="AF18" s="6">
        <f t="shared" si="35"/>
        <v>923.49948212070967</v>
      </c>
      <c r="AG18" s="6">
        <f t="shared" si="36"/>
        <v>2175.4845963433713</v>
      </c>
      <c r="AI18" s="53" t="str">
        <f t="shared" si="16"/>
        <v>APS DOM PEDRITO</v>
      </c>
      <c r="AJ18" s="63">
        <f>VLOOKUP(AI18,Unidades!D$5:H$21,5,)</f>
        <v>0.29070000000000001</v>
      </c>
      <c r="AK18" s="61">
        <f t="shared" si="24"/>
        <v>1123.3394825368403</v>
      </c>
      <c r="AL18" s="61">
        <f t="shared" si="25"/>
        <v>1260.5820806095592</v>
      </c>
      <c r="AM18" s="61">
        <f t="shared" si="26"/>
        <v>1191.9607815731999</v>
      </c>
      <c r="AN18" s="61">
        <f t="shared" si="27"/>
        <v>2807.8979685003892</v>
      </c>
      <c r="AO18" s="61">
        <f t="shared" si="28"/>
        <v>1976.1851370439256</v>
      </c>
      <c r="AP18" s="61">
        <f t="shared" si="29"/>
        <v>5928.555411131777</v>
      </c>
      <c r="AQ18" s="61">
        <f t="shared" si="30"/>
        <v>7904.7405481757023</v>
      </c>
      <c r="AR18" s="65"/>
      <c r="AS18" s="65"/>
      <c r="AT18" s="65"/>
      <c r="AU18" s="65"/>
      <c r="AV18" s="65"/>
      <c r="AW18" s="65"/>
    </row>
    <row r="19" spans="2:49" s="5" customFormat="1" ht="15" customHeight="1">
      <c r="B19" s="48" t="s">
        <v>95</v>
      </c>
      <c r="C19" s="49">
        <f>VLOOKUP($B19,Unidades!$D$5:$N$21,6,FALSE())</f>
        <v>334.4</v>
      </c>
      <c r="D19" s="49">
        <f>VLOOKUP($B19,Unidades!$D$5:$N$21,7,FALSE())</f>
        <v>296</v>
      </c>
      <c r="E19" s="49">
        <f>VLOOKUP($B19,Unidades!$D$5:$N$21,8,FALSE())</f>
        <v>38.4</v>
      </c>
      <c r="F19" s="49">
        <f>VLOOKUP($B19,Unidades!$D$5:$N$21,9,FALSE())</f>
        <v>0</v>
      </c>
      <c r="G19" s="49">
        <f t="shared" si="0"/>
        <v>309.44</v>
      </c>
      <c r="H19" s="50">
        <f t="shared" si="1"/>
        <v>1.5</v>
      </c>
      <c r="I19" s="50">
        <f t="shared" si="2"/>
        <v>1.7999999999999998</v>
      </c>
      <c r="J19" s="50" t="str">
        <f>VLOOKUP($B19,Unidades!$D$5:$N$21,10,FALSE())</f>
        <v>NÃO</v>
      </c>
      <c r="K19" s="50" t="str">
        <f>VLOOKUP($B19,Unidades!$D$5:$N$21,11,FALSE())</f>
        <v>NÃO</v>
      </c>
      <c r="L19" s="50">
        <f t="shared" si="3"/>
        <v>1.6500000000000001</v>
      </c>
      <c r="M19" s="50">
        <f t="shared" si="31"/>
        <v>1.6500000000000001</v>
      </c>
      <c r="N19" s="50">
        <f t="shared" si="32"/>
        <v>30.15</v>
      </c>
      <c r="O19" s="51">
        <f t="shared" si="6"/>
        <v>1360.3680000000002</v>
      </c>
      <c r="P19" s="32"/>
      <c r="Q19" s="53" t="str">
        <f t="shared" si="7"/>
        <v>APS QUARAÍ</v>
      </c>
      <c r="R19" s="6">
        <f t="shared" si="8"/>
        <v>67.680000000000007</v>
      </c>
      <c r="S19" s="6">
        <f t="shared" si="9"/>
        <v>81.215999999999994</v>
      </c>
      <c r="T19" s="6">
        <f t="shared" si="10"/>
        <v>74.448000000000008</v>
      </c>
      <c r="U19" s="6">
        <f t="shared" si="11"/>
        <v>74.448000000000008</v>
      </c>
      <c r="V19" s="6">
        <f>VLOOKUP(Q19,'Desl. Base Santa Maria'!$C$5:$S$21,13,FALSE())*($C$27+$D$27+$E$27*(VLOOKUP(Q19,'Desl. Base Santa Maria'!$C$5:$S$21,17,FALSE())/12))</f>
        <v>203.33155555555558</v>
      </c>
      <c r="W19" s="6">
        <f>VLOOKUP(Q19,'Desl. Base Santa Maria'!$C$5:$S$21,15,FALSE())*(2+(VLOOKUP(Q19,'Desl. Base Santa Maria'!$C$5:$S$21,17,FALSE())/12))</f>
        <v>138.27083333333334</v>
      </c>
      <c r="X19" s="6">
        <f>VLOOKUP(Q19,'Desl. Base Santa Maria'!$C$5:$Q$21,14,FALSE())</f>
        <v>0</v>
      </c>
      <c r="Y19" s="6">
        <f>VLOOKUP(Q19,'Desl. Base Santa Maria'!$C$5:$Q$21,13,FALSE())*'Desl. Base Santa Maria'!$E$26+'Desl. Base Santa Maria'!$E$27*N19/12</f>
        <v>233.14187499999997</v>
      </c>
      <c r="Z19" s="6">
        <f>(H19/$AC$5)*'Equipe Técnica'!$C$13</f>
        <v>331.06466783349816</v>
      </c>
      <c r="AA19" s="6">
        <f>(I19/$AC$5)*'Equipe Técnica'!$C$13</f>
        <v>397.27760140019774</v>
      </c>
      <c r="AB19" s="6">
        <f>(L19/$AC$5)*'Equipe Técnica'!$C$13</f>
        <v>364.17113461684801</v>
      </c>
      <c r="AC19" s="6">
        <f>(M19/$AC$5)*'Equipe Técnica'!$C$13</f>
        <v>364.17113461684801</v>
      </c>
      <c r="AD19" s="6">
        <f t="shared" si="33"/>
        <v>761.74104502648061</v>
      </c>
      <c r="AE19" s="6">
        <f t="shared" si="34"/>
        <v>841.48997859318024</v>
      </c>
      <c r="AF19" s="6">
        <f t="shared" si="35"/>
        <v>801.61551180983054</v>
      </c>
      <c r="AG19" s="6">
        <f t="shared" si="36"/>
        <v>801.61551180983054</v>
      </c>
      <c r="AI19" s="53" t="str">
        <f t="shared" si="16"/>
        <v>APS QUARAÍ</v>
      </c>
      <c r="AJ19" s="63">
        <f>VLOOKUP(AI19,Unidades!D$5:H$21,5,)</f>
        <v>0.28349999999999997</v>
      </c>
      <c r="AK19" s="61">
        <f t="shared" si="24"/>
        <v>977.69463129148789</v>
      </c>
      <c r="AL19" s="61">
        <f t="shared" si="25"/>
        <v>1080.0523875243468</v>
      </c>
      <c r="AM19" s="61">
        <f t="shared" si="26"/>
        <v>1028.8735094079175</v>
      </c>
      <c r="AN19" s="61">
        <f t="shared" si="27"/>
        <v>1028.8735094079175</v>
      </c>
      <c r="AO19" s="61">
        <f t="shared" si="28"/>
        <v>1594.9304711515827</v>
      </c>
      <c r="AP19" s="61">
        <f t="shared" si="29"/>
        <v>4784.7914134547482</v>
      </c>
      <c r="AQ19" s="61">
        <f t="shared" si="30"/>
        <v>6379.7218846063306</v>
      </c>
      <c r="AR19" s="65"/>
      <c r="AS19" s="65"/>
      <c r="AT19" s="65"/>
      <c r="AU19" s="65"/>
      <c r="AV19" s="65"/>
      <c r="AW19" s="65"/>
    </row>
    <row r="20" spans="2:49" s="5" customFormat="1" ht="15" customHeight="1">
      <c r="B20" s="48" t="s">
        <v>96</v>
      </c>
      <c r="C20" s="49">
        <f>VLOOKUP($B20,Unidades!$D$5:$N$21,6,FALSE())</f>
        <v>1251.03</v>
      </c>
      <c r="D20" s="49">
        <f>VLOOKUP($B20,Unidades!$D$5:$N$21,7,FALSE())</f>
        <v>408.61</v>
      </c>
      <c r="E20" s="49">
        <f>VLOOKUP($B20,Unidades!$D$5:$N$21,8,FALSE())</f>
        <v>215.19</v>
      </c>
      <c r="F20" s="49">
        <f>VLOOKUP($B20,Unidades!$D$5:$N$21,9,FALSE())</f>
        <v>627.23</v>
      </c>
      <c r="G20" s="49">
        <f t="shared" si="0"/>
        <v>546.64949999999999</v>
      </c>
      <c r="H20" s="50">
        <f t="shared" si="1"/>
        <v>1.5</v>
      </c>
      <c r="I20" s="50">
        <f t="shared" si="2"/>
        <v>1.7999999999999998</v>
      </c>
      <c r="J20" s="50" t="str">
        <f>VLOOKUP($B20,Unidades!$D$5:$N$21,10,FALSE())</f>
        <v>NÃO</v>
      </c>
      <c r="K20" s="50" t="str">
        <f>VLOOKUP($B20,Unidades!$D$5:$N$21,11,FALSE())</f>
        <v>SIM</v>
      </c>
      <c r="L20" s="50">
        <f t="shared" si="3"/>
        <v>1.6500000000000001</v>
      </c>
      <c r="M20" s="50">
        <f t="shared" si="31"/>
        <v>5.65</v>
      </c>
      <c r="N20" s="50">
        <f t="shared" si="32"/>
        <v>34.15</v>
      </c>
      <c r="O20" s="51">
        <f t="shared" si="6"/>
        <v>1712.7775000000001</v>
      </c>
      <c r="P20" s="32"/>
      <c r="Q20" s="53" t="str">
        <f t="shared" si="7"/>
        <v>APS ROSÁRIO DO SUL</v>
      </c>
      <c r="R20" s="6">
        <f t="shared" si="8"/>
        <v>67.680000000000007</v>
      </c>
      <c r="S20" s="6">
        <f t="shared" si="9"/>
        <v>81.215999999999994</v>
      </c>
      <c r="T20" s="6">
        <f t="shared" si="10"/>
        <v>74.448000000000008</v>
      </c>
      <c r="U20" s="6">
        <f t="shared" si="11"/>
        <v>426.85750000000007</v>
      </c>
      <c r="V20" s="6">
        <f>VLOOKUP(Q20,'Desl. Base Santa Maria'!$C$5:$S$21,13,FALSE())*($C$27+$D$27+$E$27*(VLOOKUP(Q20,'Desl. Base Santa Maria'!$C$5:$S$21,17,FALSE())/12))</f>
        <v>117.55105555555558</v>
      </c>
      <c r="W20" s="6">
        <f>VLOOKUP(Q20,'Desl. Base Santa Maria'!$C$5:$S$21,15,FALSE())*(2+(VLOOKUP(Q20,'Desl. Base Santa Maria'!$C$5:$S$21,17,FALSE())/12))</f>
        <v>0</v>
      </c>
      <c r="X20" s="6">
        <f>VLOOKUP(Q20,'Desl. Base Santa Maria'!$C$5:$Q$21,14,FALSE())</f>
        <v>0</v>
      </c>
      <c r="Y20" s="6">
        <f>VLOOKUP(Q20,'Desl. Base Santa Maria'!$C$5:$Q$21,13,FALSE())*'Desl. Base Santa Maria'!$E$26+'Desl. Base Santa Maria'!$E$27*N20/12</f>
        <v>144.46854166666665</v>
      </c>
      <c r="Z20" s="6">
        <f>(H20/$AC$5)*'Equipe Técnica'!$C$13</f>
        <v>331.06466783349816</v>
      </c>
      <c r="AA20" s="6">
        <f>(I20/$AC$5)*'Equipe Técnica'!$C$13</f>
        <v>397.27760140019774</v>
      </c>
      <c r="AB20" s="6">
        <f>(L20/$AC$5)*'Equipe Técnica'!$C$13</f>
        <v>364.17113461684801</v>
      </c>
      <c r="AC20" s="6">
        <f>(M20/$AC$5)*'Equipe Técnica'!$C$13</f>
        <v>1247.0102488395098</v>
      </c>
      <c r="AD20" s="6">
        <f t="shared" si="33"/>
        <v>564.23072923700693</v>
      </c>
      <c r="AE20" s="6">
        <f t="shared" si="34"/>
        <v>643.97966280370656</v>
      </c>
      <c r="AF20" s="6">
        <f t="shared" si="35"/>
        <v>604.10519602035674</v>
      </c>
      <c r="AG20" s="6">
        <f t="shared" si="36"/>
        <v>1839.3538102430186</v>
      </c>
      <c r="AI20" s="53" t="str">
        <f t="shared" si="16"/>
        <v>APS ROSÁRIO DO SUL</v>
      </c>
      <c r="AJ20" s="63">
        <f>VLOOKUP(AI20,Unidades!D$5:H$21,5,)</f>
        <v>0.2979</v>
      </c>
      <c r="AK20" s="61">
        <f t="shared" si="24"/>
        <v>732.31506347671132</v>
      </c>
      <c r="AL20" s="61">
        <f t="shared" si="25"/>
        <v>835.82120435293075</v>
      </c>
      <c r="AM20" s="61">
        <f t="shared" si="26"/>
        <v>784.06813391482103</v>
      </c>
      <c r="AN20" s="61">
        <f t="shared" si="27"/>
        <v>2387.2973103144141</v>
      </c>
      <c r="AO20" s="61">
        <f t="shared" si="28"/>
        <v>1340.541596439693</v>
      </c>
      <c r="AP20" s="61">
        <f t="shared" si="29"/>
        <v>4021.6247893190789</v>
      </c>
      <c r="AQ20" s="61">
        <f t="shared" si="30"/>
        <v>5362.1663857587719</v>
      </c>
      <c r="AR20" s="65"/>
      <c r="AS20" s="65"/>
      <c r="AT20" s="65"/>
      <c r="AU20" s="65"/>
      <c r="AV20" s="65"/>
      <c r="AW20" s="65"/>
    </row>
    <row r="21" spans="2:49" s="5" customFormat="1" ht="15" customHeight="1">
      <c r="B21" s="48" t="s">
        <v>97</v>
      </c>
      <c r="C21" s="49">
        <f>VLOOKUP($B21,Unidades!$D$5:$N$21,6,FALSE())</f>
        <v>1453.17</v>
      </c>
      <c r="D21" s="49">
        <f>VLOOKUP($B21,Unidades!$D$5:$N$21,7,FALSE())</f>
        <v>1010.64</v>
      </c>
      <c r="E21" s="49">
        <f>VLOOKUP($B21,Unidades!$D$5:$N$21,8,FALSE())</f>
        <v>442.53</v>
      </c>
      <c r="F21" s="49">
        <f>VLOOKUP($B21,Unidades!$D$5:$N$21,9,FALSE())</f>
        <v>0</v>
      </c>
      <c r="G21" s="49">
        <f t="shared" si="0"/>
        <v>1165.5255</v>
      </c>
      <c r="H21" s="50">
        <f t="shared" si="1"/>
        <v>2</v>
      </c>
      <c r="I21" s="50">
        <f t="shared" si="2"/>
        <v>2.4</v>
      </c>
      <c r="J21" s="50" t="str">
        <f>VLOOKUP($B21,Unidades!$D$5:$N$21,10,FALSE())</f>
        <v>NÃO</v>
      </c>
      <c r="K21" s="50" t="str">
        <f>VLOOKUP($B21,Unidades!$D$5:$N$21,11,FALSE())</f>
        <v>SIM</v>
      </c>
      <c r="L21" s="50">
        <f t="shared" si="3"/>
        <v>2.2000000000000002</v>
      </c>
      <c r="M21" s="50">
        <f t="shared" si="31"/>
        <v>6.2</v>
      </c>
      <c r="N21" s="50">
        <f t="shared" si="32"/>
        <v>44.2</v>
      </c>
      <c r="O21" s="51">
        <f t="shared" si="6"/>
        <v>2182.9700000000003</v>
      </c>
      <c r="P21" s="32"/>
      <c r="Q21" s="53" t="str">
        <f t="shared" si="7"/>
        <v>APS SANTANA DO LIVRAMENTO</v>
      </c>
      <c r="R21" s="6">
        <f t="shared" si="8"/>
        <v>90.240000000000009</v>
      </c>
      <c r="S21" s="6">
        <f t="shared" si="9"/>
        <v>108.28800000000001</v>
      </c>
      <c r="T21" s="6">
        <f t="shared" si="10"/>
        <v>99.264000000000024</v>
      </c>
      <c r="U21" s="6">
        <f t="shared" si="11"/>
        <v>468.41000000000008</v>
      </c>
      <c r="V21" s="6">
        <f>VLOOKUP(Q21,'Desl. Base Santa Maria'!$C$5:$S$21,13,FALSE())*($C$27+$D$27+$E$27*(VLOOKUP(Q21,'Desl. Base Santa Maria'!$C$5:$S$21,17,FALSE())/12))</f>
        <v>203.33155555555558</v>
      </c>
      <c r="W21" s="6">
        <f>VLOOKUP(Q21,'Desl. Base Santa Maria'!$C$5:$S$21,15,FALSE())*(2+(VLOOKUP(Q21,'Desl. Base Santa Maria'!$C$5:$S$21,17,FALSE())/12))</f>
        <v>138.27083333333334</v>
      </c>
      <c r="X21" s="6">
        <f>VLOOKUP(Q21,'Desl. Base Santa Maria'!$C$5:$Q$21,14,FALSE())</f>
        <v>0</v>
      </c>
      <c r="Y21" s="6">
        <f>VLOOKUP(Q21,'Desl. Base Santa Maria'!$C$5:$Q$21,13,FALSE())*'Desl. Base Santa Maria'!$E$26+'Desl. Base Santa Maria'!$E$27*N21/12</f>
        <v>241.27916666666664</v>
      </c>
      <c r="Z21" s="6">
        <f>(H21/$AC$5)*'Equipe Técnica'!$C$13</f>
        <v>441.41955711133085</v>
      </c>
      <c r="AA21" s="6">
        <f>(I21/$AC$5)*'Equipe Técnica'!$C$13</f>
        <v>529.70346853359695</v>
      </c>
      <c r="AB21" s="6">
        <f>(L21/$AC$5)*'Equipe Técnica'!$C$13</f>
        <v>485.56151282246395</v>
      </c>
      <c r="AC21" s="6">
        <f>(M21/$AC$5)*'Equipe Técnica'!$C$13</f>
        <v>1368.4006270451257</v>
      </c>
      <c r="AD21" s="6">
        <f t="shared" si="33"/>
        <v>899.79527640957645</v>
      </c>
      <c r="AE21" s="6">
        <f t="shared" si="34"/>
        <v>1006.1271878318425</v>
      </c>
      <c r="AF21" s="6">
        <f t="shared" si="35"/>
        <v>952.96123212070961</v>
      </c>
      <c r="AG21" s="6">
        <f t="shared" si="36"/>
        <v>2204.9463463433713</v>
      </c>
      <c r="AI21" s="53" t="str">
        <f t="shared" si="16"/>
        <v>APS SANTANA DO LIVRAMENTO</v>
      </c>
      <c r="AJ21" s="63">
        <f>VLOOKUP(AI21,Unidades!D$5:H$21,5,)</f>
        <v>0.2979</v>
      </c>
      <c r="AK21" s="61">
        <f t="shared" si="24"/>
        <v>1167.8442892519893</v>
      </c>
      <c r="AL21" s="61">
        <f t="shared" si="25"/>
        <v>1305.8524770869485</v>
      </c>
      <c r="AM21" s="61">
        <f t="shared" si="26"/>
        <v>1236.8483831694691</v>
      </c>
      <c r="AN21" s="61">
        <f t="shared" si="27"/>
        <v>2861.7998629190615</v>
      </c>
      <c r="AO21" s="61">
        <f t="shared" si="28"/>
        <v>2047.7531673858055</v>
      </c>
      <c r="AP21" s="61">
        <f t="shared" si="29"/>
        <v>6143.2595021574161</v>
      </c>
      <c r="AQ21" s="61">
        <f t="shared" si="30"/>
        <v>8191.0126695432218</v>
      </c>
      <c r="AR21" s="65"/>
      <c r="AS21" s="65"/>
      <c r="AT21" s="65"/>
      <c r="AU21" s="65"/>
      <c r="AV21" s="65"/>
      <c r="AW21" s="65"/>
    </row>
    <row r="22" spans="2:49" s="5" customFormat="1" ht="15" customHeight="1">
      <c r="B22" s="48" t="s">
        <v>98</v>
      </c>
      <c r="C22" s="49">
        <f>VLOOKUP($B22,Unidades!$D$5:$N$21,6,FALSE())</f>
        <v>1836.21</v>
      </c>
      <c r="D22" s="49">
        <f>VLOOKUP($B22,Unidades!$D$5:$N$21,7,FALSE())</f>
        <v>727.17</v>
      </c>
      <c r="E22" s="49">
        <f>VLOOKUP($B22,Unidades!$D$5:$N$21,8,FALSE())</f>
        <v>986.74</v>
      </c>
      <c r="F22" s="49">
        <f>VLOOKUP($B22,Unidades!$D$5:$N$21,9,FALSE())</f>
        <v>122.3</v>
      </c>
      <c r="G22" s="49">
        <f t="shared" si="0"/>
        <v>1084.759</v>
      </c>
      <c r="H22" s="50">
        <f t="shared" si="1"/>
        <v>2</v>
      </c>
      <c r="I22" s="50">
        <f t="shared" si="2"/>
        <v>2.4</v>
      </c>
      <c r="J22" s="50" t="str">
        <f>VLOOKUP($B22,Unidades!$D$5:$N$21,10,FALSE())</f>
        <v>NÃO</v>
      </c>
      <c r="K22" s="50" t="str">
        <f>VLOOKUP($B22,Unidades!$D$5:$N$21,11,FALSE())</f>
        <v>SIM</v>
      </c>
      <c r="L22" s="50">
        <f t="shared" si="3"/>
        <v>2.2000000000000002</v>
      </c>
      <c r="M22" s="50">
        <f t="shared" si="31"/>
        <v>6.2</v>
      </c>
      <c r="N22" s="50">
        <f t="shared" si="32"/>
        <v>44.2</v>
      </c>
      <c r="O22" s="51">
        <f t="shared" si="6"/>
        <v>2182.9700000000003</v>
      </c>
      <c r="P22" s="32"/>
      <c r="Q22" s="53" t="str">
        <f t="shared" si="7"/>
        <v>APS SÃO GABRIEL</v>
      </c>
      <c r="R22" s="6">
        <f t="shared" si="8"/>
        <v>90.240000000000009</v>
      </c>
      <c r="S22" s="6">
        <f t="shared" si="9"/>
        <v>108.28800000000001</v>
      </c>
      <c r="T22" s="6">
        <f t="shared" si="10"/>
        <v>99.264000000000024</v>
      </c>
      <c r="U22" s="6">
        <f t="shared" si="11"/>
        <v>468.41000000000008</v>
      </c>
      <c r="V22" s="6">
        <f>VLOOKUP(Q22,'Desl. Base Santa Maria'!$C$5:$S$21,13,FALSE())*($C$27+$D$27+$E$27*(VLOOKUP(Q22,'Desl. Base Santa Maria'!$C$5:$S$21,17,FALSE())/12))</f>
        <v>117.55105555555558</v>
      </c>
      <c r="W22" s="6">
        <f>VLOOKUP(Q22,'Desl. Base Santa Maria'!$C$5:$S$21,15,FALSE())*(2+(VLOOKUP(Q22,'Desl. Base Santa Maria'!$C$5:$S$21,17,FALSE())/12))</f>
        <v>0</v>
      </c>
      <c r="X22" s="6">
        <f>VLOOKUP(Q22,'Desl. Base Santa Maria'!$C$5:$Q$21,14,FALSE())</f>
        <v>0</v>
      </c>
      <c r="Y22" s="6">
        <f>VLOOKUP(Q22,'Desl. Base Santa Maria'!$C$5:$Q$21,13,FALSE())*'Desl. Base Santa Maria'!$E$26+'Desl. Base Santa Maria'!$E$27*N22/12</f>
        <v>150.28916666666666</v>
      </c>
      <c r="Z22" s="6">
        <f>(H22/$AC$5)*'Equipe Técnica'!$C$13</f>
        <v>441.41955711133085</v>
      </c>
      <c r="AA22" s="6">
        <f>(I22/$AC$5)*'Equipe Técnica'!$C$13</f>
        <v>529.70346853359695</v>
      </c>
      <c r="AB22" s="6">
        <f>(L22/$AC$5)*'Equipe Técnica'!$C$13</f>
        <v>485.56151282246395</v>
      </c>
      <c r="AC22" s="6">
        <f>(M22/$AC$5)*'Equipe Técnica'!$C$13</f>
        <v>1368.4006270451257</v>
      </c>
      <c r="AD22" s="6">
        <f t="shared" si="33"/>
        <v>700.82180272536596</v>
      </c>
      <c r="AE22" s="6">
        <f t="shared" si="34"/>
        <v>807.15371414763206</v>
      </c>
      <c r="AF22" s="6">
        <f t="shared" si="35"/>
        <v>753.98775843649901</v>
      </c>
      <c r="AG22" s="6">
        <f t="shared" si="36"/>
        <v>2005.9728726591609</v>
      </c>
      <c r="AI22" s="53" t="str">
        <f t="shared" si="16"/>
        <v>APS SÃO GABRIEL</v>
      </c>
      <c r="AJ22" s="63">
        <f>VLOOKUP(AI22,Unidades!D$5:H$21,5,)</f>
        <v>0.2979</v>
      </c>
      <c r="AK22" s="61">
        <f t="shared" si="24"/>
        <v>909.59661775725249</v>
      </c>
      <c r="AL22" s="61">
        <f t="shared" si="25"/>
        <v>1047.6048055922117</v>
      </c>
      <c r="AM22" s="61">
        <f t="shared" si="26"/>
        <v>978.60071167473211</v>
      </c>
      <c r="AN22" s="61">
        <f t="shared" si="27"/>
        <v>2603.552191424325</v>
      </c>
      <c r="AO22" s="61">
        <f t="shared" si="28"/>
        <v>1638.8610208524722</v>
      </c>
      <c r="AP22" s="61">
        <f t="shared" si="29"/>
        <v>4916.5830625574163</v>
      </c>
      <c r="AQ22" s="61">
        <f t="shared" si="30"/>
        <v>6555.4440834098887</v>
      </c>
      <c r="AR22" s="65"/>
      <c r="AS22" s="65"/>
      <c r="AT22" s="65"/>
      <c r="AU22" s="65"/>
      <c r="AV22" s="65"/>
      <c r="AW22" s="65"/>
    </row>
    <row r="23" spans="2:49" s="5" customFormat="1" ht="15" customHeight="1">
      <c r="B23" s="48" t="s">
        <v>99</v>
      </c>
      <c r="C23" s="49">
        <f>VLOOKUP($B23,Unidades!$D$5:$N$21,6,FALSE())</f>
        <v>1684.94</v>
      </c>
      <c r="D23" s="49">
        <f>VLOOKUP($B23,Unidades!$D$5:$N$21,7,FALSE())</f>
        <v>1167.79</v>
      </c>
      <c r="E23" s="49">
        <f>VLOOKUP($B23,Unidades!$D$5:$N$21,8,FALSE())</f>
        <v>337.55</v>
      </c>
      <c r="F23" s="49">
        <f>VLOOKUP($B23,Unidades!$D$5:$N$21,9,FALSE())</f>
        <v>179.6</v>
      </c>
      <c r="G23" s="49">
        <f t="shared" ref="G23" si="37">D23+E23*$E$6+F23*$F$6</f>
        <v>1303.8924999999999</v>
      </c>
      <c r="H23" s="50">
        <f t="shared" ref="H23" si="38">IF(G23&lt;750,1.5,IF(G23&lt;2000,2,3))</f>
        <v>2</v>
      </c>
      <c r="I23" s="50">
        <f t="shared" ref="I23" si="39">$I$6*H23</f>
        <v>2.4</v>
      </c>
      <c r="J23" s="50" t="str">
        <f>VLOOKUP($B23,Unidades!$D$5:$N$21,10,FALSE())</f>
        <v>NÃO</v>
      </c>
      <c r="K23" s="50" t="str">
        <f>VLOOKUP($B23,Unidades!$D$5:$N$21,11,FALSE())</f>
        <v>SIM</v>
      </c>
      <c r="L23" s="50">
        <f t="shared" ref="L23" si="40">$L$6*H23+(IF(J23="SIM",$J$6,0))</f>
        <v>2.2000000000000002</v>
      </c>
      <c r="M23" s="50">
        <f t="shared" ref="M23" si="41">$M$6*H23+(IF(J23="SIM",$J$6,0))+(IF(K23="SIM",$K$6,0))</f>
        <v>6.2</v>
      </c>
      <c r="N23" s="50">
        <f t="shared" ref="N23" si="42">H23*12+I23*4+L23*2+M23</f>
        <v>44.2</v>
      </c>
      <c r="O23" s="51">
        <f t="shared" si="6"/>
        <v>2182.9700000000003</v>
      </c>
      <c r="P23" s="32"/>
      <c r="Q23" s="53" t="str">
        <f t="shared" si="7"/>
        <v>GEX/APS URUGUAIANA</v>
      </c>
      <c r="R23" s="6">
        <f t="shared" si="8"/>
        <v>90.240000000000009</v>
      </c>
      <c r="S23" s="6">
        <f t="shared" si="9"/>
        <v>108.28800000000001</v>
      </c>
      <c r="T23" s="6">
        <f t="shared" si="10"/>
        <v>99.264000000000024</v>
      </c>
      <c r="U23" s="6">
        <f t="shared" si="11"/>
        <v>468.41000000000008</v>
      </c>
      <c r="V23" s="6">
        <f>VLOOKUP(Q23,'Desl. Base Santa Maria'!$C$5:$S$21,13,FALSE())*($C$27+$D$27+$E$27*(VLOOKUP(Q23,'Desl. Base Santa Maria'!$C$5:$S$21,17,FALSE())/12))</f>
        <v>449.5533611111112</v>
      </c>
      <c r="W23" s="6">
        <f>VLOOKUP(Q23,'Desl. Base Santa Maria'!$C$5:$S$21,15,FALSE())*(2+(VLOOKUP(Q23,'Desl. Base Santa Maria'!$C$5:$S$21,17,FALSE())/12))</f>
        <v>276.54166666666669</v>
      </c>
      <c r="X23" s="6">
        <f>VLOOKUP(Q23,'Desl. Base Santa Maria'!$C$5:$Q$21,14,FALSE())</f>
        <v>0</v>
      </c>
      <c r="Y23" s="6">
        <f>VLOOKUP(Q23,'Desl. Base Santa Maria'!$C$5:$Q$21,13,FALSE())*'Desl. Base Santa Maria'!$E$26+'Desl. Base Santa Maria'!$E$27*N23/12</f>
        <v>502.45416666666665</v>
      </c>
      <c r="Z23" s="6">
        <f>(H23/$AC$5)*'Equipe Técnica'!$C$13</f>
        <v>441.41955711133085</v>
      </c>
      <c r="AA23" s="6">
        <f>(I23/$AC$5)*'Equipe Técnica'!$C$13</f>
        <v>529.70346853359695</v>
      </c>
      <c r="AB23" s="6">
        <f>(L23/$AC$5)*'Equipe Técnica'!$C$13</f>
        <v>485.56151282246395</v>
      </c>
      <c r="AC23" s="6">
        <f>(M23/$AC$5)*'Equipe Técnica'!$C$13</f>
        <v>1368.4006270451257</v>
      </c>
      <c r="AD23" s="6">
        <f t="shared" ref="AD23" si="43">R23+(($V23+$W23+$X23+$Y23)*12/19)+$Z23</f>
        <v>1307.5853641288747</v>
      </c>
      <c r="AE23" s="6">
        <f t="shared" ref="AE23" si="44">S23+(($V23+$W23+$X23+$Y23)*12/19)+$AA23</f>
        <v>1413.9172755511408</v>
      </c>
      <c r="AF23" s="6">
        <f t="shared" ref="AF23" si="45">T23+(($V23+$W23+$X23+$Y23)*12/19)+$AB23</f>
        <v>1360.7513198400079</v>
      </c>
      <c r="AG23" s="6">
        <f t="shared" ref="AG23" si="46">U23+(($V23+$W23+$X23+$Y23)*12/19)+$AC23</f>
        <v>2612.73643406267</v>
      </c>
      <c r="AI23" s="53" t="str">
        <f t="shared" ref="AI23" si="47">B23</f>
        <v>GEX/APS URUGUAIANA</v>
      </c>
      <c r="AJ23" s="63">
        <f>VLOOKUP(AI23,Unidades!D$5:H$21,5,)</f>
        <v>0.32779999999999998</v>
      </c>
      <c r="AK23" s="61">
        <f t="shared" si="24"/>
        <v>1736.2118464903197</v>
      </c>
      <c r="AL23" s="61">
        <f t="shared" si="25"/>
        <v>1877.3993584768045</v>
      </c>
      <c r="AM23" s="61">
        <f t="shared" si="26"/>
        <v>1806.8056024835623</v>
      </c>
      <c r="AN23" s="61">
        <f t="shared" si="27"/>
        <v>3469.1914371484131</v>
      </c>
      <c r="AO23" s="61">
        <f t="shared" si="28"/>
        <v>2952.2451861588829</v>
      </c>
      <c r="AP23" s="61">
        <f t="shared" si="29"/>
        <v>8856.7355584766483</v>
      </c>
      <c r="AQ23" s="61">
        <f t="shared" si="30"/>
        <v>11808.980744635532</v>
      </c>
      <c r="AR23" s="65"/>
      <c r="AS23" s="65"/>
      <c r="AT23" s="65"/>
      <c r="AU23" s="65"/>
      <c r="AV23" s="65"/>
      <c r="AW23" s="65"/>
    </row>
    <row r="24" spans="2:49" s="2" customFormat="1" ht="20.100000000000001" customHeight="1">
      <c r="B24" s="143" t="s">
        <v>100</v>
      </c>
      <c r="C24" s="79">
        <f t="shared" ref="C24:I24" si="48">SUM(C7:C23)</f>
        <v>21447.05</v>
      </c>
      <c r="D24" s="79">
        <f t="shared" si="48"/>
        <v>10986.59</v>
      </c>
      <c r="E24" s="79">
        <f t="shared" si="48"/>
        <v>7369.36</v>
      </c>
      <c r="F24" s="79">
        <f t="shared" si="48"/>
        <v>4136.3</v>
      </c>
      <c r="G24" s="79">
        <f t="shared" si="48"/>
        <v>13979.495999999999</v>
      </c>
      <c r="H24" s="80">
        <f t="shared" si="48"/>
        <v>30.5</v>
      </c>
      <c r="I24" s="80">
        <f t="shared" si="48"/>
        <v>36.599999999999994</v>
      </c>
      <c r="J24" s="80">
        <f>COUNTIF(J7:J23,"SIM")</f>
        <v>0</v>
      </c>
      <c r="K24" s="80">
        <f>COUNTIF(K7:K23,"SIM")</f>
        <v>11</v>
      </c>
      <c r="L24" s="80">
        <f>SUM(L7:L23)</f>
        <v>33.549999999999997</v>
      </c>
      <c r="M24" s="80">
        <f>SUM(M7:M23)</f>
        <v>77.550000000000011</v>
      </c>
      <c r="N24" s="80">
        <f>SUM(N7:N23)</f>
        <v>657.05000000000007</v>
      </c>
      <c r="O24" s="81">
        <f>SUM(O7:O23)</f>
        <v>31704.685500000007</v>
      </c>
      <c r="P24" s="33"/>
      <c r="Q24" s="80" t="s">
        <v>100</v>
      </c>
      <c r="R24" s="84">
        <f t="shared" ref="R24:AG24" si="49">SUM(R7:R23)</f>
        <v>1376.1600000000003</v>
      </c>
      <c r="S24" s="84">
        <f t="shared" si="49"/>
        <v>1651.3919999999998</v>
      </c>
      <c r="T24" s="84">
        <f t="shared" si="49"/>
        <v>1513.7760000000005</v>
      </c>
      <c r="U24" s="84">
        <f t="shared" si="49"/>
        <v>5557.6455000000005</v>
      </c>
      <c r="V24" s="84">
        <f t="shared" si="49"/>
        <v>3003.4000138888896</v>
      </c>
      <c r="W24" s="84">
        <f t="shared" si="49"/>
        <v>1913.6683333333333</v>
      </c>
      <c r="X24" s="84">
        <f t="shared" si="49"/>
        <v>43</v>
      </c>
      <c r="Y24" s="84">
        <f t="shared" si="49"/>
        <v>3611.5289583333324</v>
      </c>
      <c r="Z24" s="84">
        <f t="shared" si="49"/>
        <v>6731.6482459477938</v>
      </c>
      <c r="AA24" s="84">
        <f t="shared" si="49"/>
        <v>8077.9778951373519</v>
      </c>
      <c r="AB24" s="84">
        <f t="shared" si="49"/>
        <v>7404.8130705425738</v>
      </c>
      <c r="AC24" s="84">
        <f t="shared" si="49"/>
        <v>17116.043326991858</v>
      </c>
      <c r="AD24" s="84">
        <f t="shared" si="49"/>
        <v>13521.448649456568</v>
      </c>
      <c r="AE24" s="84">
        <f t="shared" si="49"/>
        <v>15143.010298646128</v>
      </c>
      <c r="AF24" s="84">
        <f t="shared" si="49"/>
        <v>14332.229474051348</v>
      </c>
      <c r="AG24" s="84">
        <f t="shared" si="49"/>
        <v>28087.329230500629</v>
      </c>
      <c r="AI24" s="231" t="s">
        <v>100</v>
      </c>
      <c r="AJ24" s="231"/>
      <c r="AK24" s="85">
        <f t="shared" ref="AK24:AQ24" si="50">SUM(AK7:AK23)</f>
        <v>17554.238264622923</v>
      </c>
      <c r="AL24" s="85">
        <f t="shared" si="50"/>
        <v>19658.541475073998</v>
      </c>
      <c r="AM24" s="85">
        <f t="shared" si="50"/>
        <v>18606.389869848463</v>
      </c>
      <c r="AN24" s="85">
        <f t="shared" si="50"/>
        <v>36452.235837370077</v>
      </c>
      <c r="AO24" s="85">
        <f t="shared" si="50"/>
        <v>30245.836721069842</v>
      </c>
      <c r="AP24" s="85">
        <f t="shared" si="50"/>
        <v>90737.510163209517</v>
      </c>
      <c r="AQ24" s="85">
        <f t="shared" si="50"/>
        <v>120983.34688427937</v>
      </c>
    </row>
    <row r="25" spans="2:49" ht="18.399999999999999" customHeight="1">
      <c r="H25" s="34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27"/>
      <c r="AE25" s="27"/>
      <c r="AF25" s="27"/>
      <c r="AG25" s="27"/>
    </row>
    <row r="26" spans="2:49" ht="40.35" customHeight="1">
      <c r="B26" s="227" t="s">
        <v>27</v>
      </c>
      <c r="C26" s="76" t="s">
        <v>230</v>
      </c>
      <c r="D26" s="76" t="s">
        <v>231</v>
      </c>
      <c r="E26" s="76" t="s">
        <v>101</v>
      </c>
      <c r="R26" s="126"/>
      <c r="Z26" s="126"/>
      <c r="AA26" s="126"/>
      <c r="AB26" s="126"/>
      <c r="AC26" s="126"/>
    </row>
    <row r="27" spans="2:49" ht="18.399999999999999" customHeight="1">
      <c r="B27" s="227"/>
      <c r="C27" s="6">
        <f>'Comp. Oficial de Manutenção'!D11</f>
        <v>24.41</v>
      </c>
      <c r="D27" s="6">
        <v>20.71</v>
      </c>
      <c r="E27" s="6">
        <v>30.43</v>
      </c>
    </row>
    <row r="28" spans="2:49" ht="28.9" customHeight="1">
      <c r="B28" s="25" t="str">
        <f>'Equipe Técnica'!B9</f>
        <v>* Tabela SINAPI Outubro/2023 (Não Desonerado)</v>
      </c>
    </row>
    <row r="29" spans="2:49" ht="23.85" customHeight="1"/>
  </sheetData>
  <mergeCells count="44">
    <mergeCell ref="AT11:AU11"/>
    <mergeCell ref="AT12:AU12"/>
    <mergeCell ref="B26:B27"/>
    <mergeCell ref="AT13:AU13"/>
    <mergeCell ref="AT14:AU14"/>
    <mergeCell ref="AT15:AU15"/>
    <mergeCell ref="AI24:AJ24"/>
    <mergeCell ref="AO5:AO6"/>
    <mergeCell ref="AP5:AP6"/>
    <mergeCell ref="AQ5:AQ6"/>
    <mergeCell ref="AS5:AS6"/>
    <mergeCell ref="AT10:AU10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43"/>
  <sheetViews>
    <sheetView showGridLines="0" zoomScale="110" zoomScaleNormal="110" workbookViewId="0">
      <selection activeCell="M27" sqref="M27"/>
    </sheetView>
  </sheetViews>
  <sheetFormatPr defaultRowHeight="14.25"/>
  <cols>
    <col min="1" max="1" width="5.625" customWidth="1"/>
    <col min="2" max="2" width="12.625" style="36" customWidth="1"/>
    <col min="3" max="3" width="32.625" style="36" customWidth="1"/>
    <col min="4" max="13" width="9.625" style="36" customWidth="1"/>
    <col min="14" max="15" width="9.625" style="44" customWidth="1"/>
    <col min="16" max="16" width="9.625" style="36" customWidth="1"/>
    <col min="17" max="17" width="10.75" style="36" customWidth="1"/>
    <col min="18" max="18" width="9.75" style="36" customWidth="1"/>
    <col min="19" max="19" width="14.25" style="36" customWidth="1"/>
    <col min="20" max="260" width="8.625" style="36" customWidth="1"/>
    <col min="261" max="1026" width="8.625" customWidth="1"/>
  </cols>
  <sheetData>
    <row r="1" spans="2:19" ht="15" customHeight="1"/>
    <row r="2" spans="2:19" ht="24.95" customHeight="1">
      <c r="B2" s="207" t="str">
        <f>"DESLOCAMENTO BASE "&amp;Resumo!B5</f>
        <v>DESLOCAMENTO BASE SANTA MARIA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9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102</v>
      </c>
      <c r="C4" s="10" t="str">
        <f>"Rota (saída e retorno "&amp;Resumo!B5&amp;")"</f>
        <v>Rota (saída e retorno SANTA MARIA)</v>
      </c>
      <c r="D4" s="10" t="s">
        <v>103</v>
      </c>
      <c r="E4" s="10" t="s">
        <v>104</v>
      </c>
      <c r="F4" s="10" t="s">
        <v>105</v>
      </c>
      <c r="G4" s="10" t="s">
        <v>106</v>
      </c>
      <c r="H4" s="10" t="s">
        <v>107</v>
      </c>
      <c r="I4" s="10" t="s">
        <v>108</v>
      </c>
      <c r="J4" s="10" t="s">
        <v>109</v>
      </c>
      <c r="K4" s="10" t="s">
        <v>110</v>
      </c>
      <c r="L4" s="10" t="s">
        <v>111</v>
      </c>
      <c r="M4" s="37" t="s">
        <v>112</v>
      </c>
      <c r="N4" s="10" t="s">
        <v>113</v>
      </c>
      <c r="O4" s="70" t="s">
        <v>114</v>
      </c>
      <c r="P4" s="70" t="s">
        <v>115</v>
      </c>
      <c r="Q4" s="70" t="s">
        <v>63</v>
      </c>
      <c r="R4" s="178" t="s">
        <v>277</v>
      </c>
      <c r="S4" s="178" t="s">
        <v>278</v>
      </c>
    </row>
    <row r="5" spans="2:19" ht="15.95" customHeight="1">
      <c r="B5" s="147">
        <v>1</v>
      </c>
      <c r="C5" s="134" t="s">
        <v>92</v>
      </c>
      <c r="D5" s="135">
        <v>0</v>
      </c>
      <c r="E5" s="135">
        <v>0</v>
      </c>
      <c r="F5" s="135">
        <v>0</v>
      </c>
      <c r="G5" s="136">
        <v>0</v>
      </c>
      <c r="H5" s="135">
        <v>0</v>
      </c>
      <c r="I5" s="135">
        <v>0</v>
      </c>
      <c r="J5" s="135">
        <v>0</v>
      </c>
      <c r="K5" s="137">
        <f>SUM(H5:J5)</f>
        <v>0</v>
      </c>
      <c r="L5" s="138">
        <f>K5/60</f>
        <v>0</v>
      </c>
      <c r="M5" s="139">
        <v>0</v>
      </c>
      <c r="N5" s="140">
        <v>1</v>
      </c>
      <c r="O5" s="142">
        <f>L5/N5</f>
        <v>0</v>
      </c>
      <c r="P5" s="139">
        <v>0</v>
      </c>
      <c r="Q5" s="139">
        <v>0</v>
      </c>
      <c r="R5" s="179" t="str">
        <f>INDEX('Base Santa Maria'!$K$7:$K$23,MATCH('Desl. Base Santa Maria'!C5,'Base Santa Maria'!$B$7:$B$23,0))</f>
        <v>SIM</v>
      </c>
      <c r="S5" s="179">
        <v>1</v>
      </c>
    </row>
    <row r="6" spans="2:19" ht="15.95" customHeight="1">
      <c r="B6" s="245">
        <v>2</v>
      </c>
      <c r="C6" s="134" t="s">
        <v>96</v>
      </c>
      <c r="D6" s="234">
        <v>141</v>
      </c>
      <c r="E6" s="234">
        <f>207-D6</f>
        <v>66</v>
      </c>
      <c r="F6" s="234">
        <v>166</v>
      </c>
      <c r="G6" s="235">
        <f>SUM(D6:F7)</f>
        <v>373</v>
      </c>
      <c r="H6" s="234">
        <v>112</v>
      </c>
      <c r="I6" s="234">
        <f>170-H6</f>
        <v>58</v>
      </c>
      <c r="J6" s="234">
        <v>126</v>
      </c>
      <c r="K6" s="240">
        <f>SUM(H6:J7)</f>
        <v>296</v>
      </c>
      <c r="L6" s="238">
        <f>K6/60</f>
        <v>4.9333333333333336</v>
      </c>
      <c r="M6" s="236">
        <v>0</v>
      </c>
      <c r="N6" s="237">
        <v>2</v>
      </c>
      <c r="O6" s="142">
        <f>L6/N6</f>
        <v>2.4666666666666668</v>
      </c>
      <c r="P6" s="148">
        <v>0</v>
      </c>
      <c r="Q6" s="148">
        <v>0</v>
      </c>
      <c r="R6" s="179" t="str">
        <f>INDEX('Base Santa Maria'!$K$7:$K$23,MATCH('Desl. Base Santa Maria'!C6,'Base Santa Maria'!$B$7:$B$23,0))</f>
        <v>SIM</v>
      </c>
      <c r="S6" s="179">
        <v>1</v>
      </c>
    </row>
    <row r="7" spans="2:19" ht="15.95" customHeight="1">
      <c r="B7" s="245"/>
      <c r="C7" s="134" t="s">
        <v>98</v>
      </c>
      <c r="D7" s="234"/>
      <c r="E7" s="234"/>
      <c r="F7" s="234"/>
      <c r="G7" s="235"/>
      <c r="H7" s="234"/>
      <c r="I7" s="234"/>
      <c r="J7" s="234"/>
      <c r="K7" s="240"/>
      <c r="L7" s="239"/>
      <c r="M7" s="236"/>
      <c r="N7" s="237"/>
      <c r="O7" s="142">
        <f>O6</f>
        <v>2.4666666666666668</v>
      </c>
      <c r="P7" s="148">
        <v>0</v>
      </c>
      <c r="Q7" s="148">
        <v>0</v>
      </c>
      <c r="R7" s="179" t="str">
        <f>INDEX('Base Santa Maria'!$K$7:$K$23,MATCH('Desl. Base Santa Maria'!C7,'Base Santa Maria'!$B$7:$B$23,0))</f>
        <v>SIM</v>
      </c>
      <c r="S7" s="179">
        <v>1</v>
      </c>
    </row>
    <row r="8" spans="2:19" ht="15.95" customHeight="1">
      <c r="B8" s="232">
        <v>3</v>
      </c>
      <c r="C8" s="134" t="s">
        <v>85</v>
      </c>
      <c r="D8" s="234">
        <v>124</v>
      </c>
      <c r="E8" s="234">
        <f>191-D8</f>
        <v>67</v>
      </c>
      <c r="F8" s="234">
        <v>168</v>
      </c>
      <c r="G8" s="235">
        <f t="shared" ref="G8" si="0">SUM(D8:F9)</f>
        <v>359</v>
      </c>
      <c r="H8" s="234">
        <v>112</v>
      </c>
      <c r="I8" s="234">
        <f>183-H8</f>
        <v>71</v>
      </c>
      <c r="J8" s="234">
        <v>148</v>
      </c>
      <c r="K8" s="240">
        <f t="shared" ref="K8" si="1">SUM(H8:J9)</f>
        <v>331</v>
      </c>
      <c r="L8" s="238">
        <f t="shared" ref="L8" si="2">K8/60</f>
        <v>5.5166666666666666</v>
      </c>
      <c r="M8" s="236">
        <v>17.2</v>
      </c>
      <c r="N8" s="237">
        <v>2</v>
      </c>
      <c r="O8" s="142">
        <f t="shared" ref="O8" si="3">L8/N8</f>
        <v>2.7583333333333333</v>
      </c>
      <c r="P8" s="148">
        <f t="shared" ref="P8" si="4">M8/N8</f>
        <v>8.6</v>
      </c>
      <c r="Q8" s="148">
        <f>$E$42/N8</f>
        <v>66.37</v>
      </c>
      <c r="R8" s="179" t="str">
        <f>INDEX('Base Santa Maria'!$K$7:$K$23,MATCH('Desl. Base Santa Maria'!C8,'Base Santa Maria'!$B$7:$B$23,0))</f>
        <v>SIM</v>
      </c>
      <c r="S8" s="179">
        <v>1</v>
      </c>
    </row>
    <row r="9" spans="2:19" ht="15.95" customHeight="1">
      <c r="B9" s="233"/>
      <c r="C9" s="134" t="s">
        <v>88</v>
      </c>
      <c r="D9" s="234"/>
      <c r="E9" s="234"/>
      <c r="F9" s="234"/>
      <c r="G9" s="235"/>
      <c r="H9" s="234"/>
      <c r="I9" s="234"/>
      <c r="J9" s="234"/>
      <c r="K9" s="240"/>
      <c r="L9" s="239"/>
      <c r="M9" s="236"/>
      <c r="N9" s="237"/>
      <c r="O9" s="142">
        <f>O8</f>
        <v>2.7583333333333333</v>
      </c>
      <c r="P9" s="148">
        <f>P8</f>
        <v>8.6</v>
      </c>
      <c r="Q9" s="148">
        <f>Q8</f>
        <v>66.37</v>
      </c>
      <c r="R9" s="179" t="str">
        <f>INDEX('Base Santa Maria'!$K$7:$K$23,MATCH('Desl. Base Santa Maria'!C9,'Base Santa Maria'!$B$7:$B$23,0))</f>
        <v>SIM</v>
      </c>
      <c r="S9" s="179">
        <v>1</v>
      </c>
    </row>
    <row r="10" spans="2:19" ht="15.95" customHeight="1">
      <c r="B10" s="232">
        <v>4</v>
      </c>
      <c r="C10" s="134" t="s">
        <v>82</v>
      </c>
      <c r="D10" s="234">
        <v>102</v>
      </c>
      <c r="E10" s="234">
        <f>286-D10</f>
        <v>184</v>
      </c>
      <c r="F10" s="234">
        <v>243</v>
      </c>
      <c r="G10" s="235">
        <f t="shared" ref="G10" si="5">SUM(D10:F11)</f>
        <v>529</v>
      </c>
      <c r="H10" s="234">
        <v>99</v>
      </c>
      <c r="I10" s="234">
        <f>244-H10</f>
        <v>145</v>
      </c>
      <c r="J10" s="234">
        <v>204</v>
      </c>
      <c r="K10" s="240">
        <f t="shared" ref="K10" si="6">SUM(H10:J11)</f>
        <v>448</v>
      </c>
      <c r="L10" s="238">
        <f t="shared" ref="L10" si="7">K10/60</f>
        <v>7.4666666666666668</v>
      </c>
      <c r="M10" s="236">
        <v>0</v>
      </c>
      <c r="N10" s="237">
        <v>2</v>
      </c>
      <c r="O10" s="142">
        <f t="shared" ref="O10" si="8">L10/N10</f>
        <v>3.7333333333333334</v>
      </c>
      <c r="P10" s="148">
        <f t="shared" ref="P10" si="9">M10/N10</f>
        <v>0</v>
      </c>
      <c r="Q10" s="148">
        <f>$E$42/N10</f>
        <v>66.37</v>
      </c>
      <c r="R10" s="179" t="str">
        <f>INDEX('Base Santa Maria'!$K$7:$K$23,MATCH('Desl. Base Santa Maria'!C10,'Base Santa Maria'!$B$7:$B$23,0))</f>
        <v>NÃO</v>
      </c>
      <c r="S10" s="179">
        <v>0</v>
      </c>
    </row>
    <row r="11" spans="2:19" ht="15.95" customHeight="1">
      <c r="B11" s="233"/>
      <c r="C11" s="134" t="s">
        <v>86</v>
      </c>
      <c r="D11" s="234"/>
      <c r="E11" s="234"/>
      <c r="F11" s="234"/>
      <c r="G11" s="235"/>
      <c r="H11" s="234"/>
      <c r="I11" s="234"/>
      <c r="J11" s="234"/>
      <c r="K11" s="240"/>
      <c r="L11" s="239"/>
      <c r="M11" s="236"/>
      <c r="N11" s="237"/>
      <c r="O11" s="142">
        <f>O10</f>
        <v>3.7333333333333334</v>
      </c>
      <c r="P11" s="148">
        <v>0</v>
      </c>
      <c r="Q11" s="148">
        <f>Q10</f>
        <v>66.37</v>
      </c>
      <c r="R11" s="179" t="str">
        <f>INDEX('Base Santa Maria'!$K$7:$K$23,MATCH('Desl. Base Santa Maria'!C11,'Base Santa Maria'!$B$7:$B$23,0))</f>
        <v>NÃO</v>
      </c>
      <c r="S11" s="179">
        <v>0</v>
      </c>
    </row>
    <row r="12" spans="2:19" ht="15.95" customHeight="1">
      <c r="B12" s="232">
        <v>5</v>
      </c>
      <c r="C12" s="134" t="s">
        <v>83</v>
      </c>
      <c r="D12" s="234">
        <v>118</v>
      </c>
      <c r="E12" s="234">
        <v>99</v>
      </c>
      <c r="F12" s="234">
        <v>154</v>
      </c>
      <c r="G12" s="235">
        <f t="shared" ref="G12" si="10">SUM(D12:F13)</f>
        <v>371</v>
      </c>
      <c r="H12" s="234">
        <v>97</v>
      </c>
      <c r="I12" s="234">
        <v>83</v>
      </c>
      <c r="J12" s="234">
        <v>117</v>
      </c>
      <c r="K12" s="240">
        <f t="shared" ref="K12" si="11">SUM(H12:J13)</f>
        <v>297</v>
      </c>
      <c r="L12" s="238">
        <f t="shared" ref="L12" si="12">K12/60</f>
        <v>4.95</v>
      </c>
      <c r="M12" s="236">
        <v>0</v>
      </c>
      <c r="N12" s="237">
        <v>2</v>
      </c>
      <c r="O12" s="142">
        <f t="shared" ref="O12" si="13">L12/N12</f>
        <v>2.4750000000000001</v>
      </c>
      <c r="P12" s="148">
        <f t="shared" ref="P12" si="14">M12/N12</f>
        <v>0</v>
      </c>
      <c r="Q12" s="148">
        <v>0</v>
      </c>
      <c r="R12" s="179" t="str">
        <f>INDEX('Base Santa Maria'!$K$7:$K$23,MATCH('Desl. Base Santa Maria'!C12,'Base Santa Maria'!$B$7:$B$23,0))</f>
        <v>NÃO</v>
      </c>
      <c r="S12" s="179">
        <v>1</v>
      </c>
    </row>
    <row r="13" spans="2:19" ht="15.95" customHeight="1">
      <c r="B13" s="233"/>
      <c r="C13" s="134" t="s">
        <v>116</v>
      </c>
      <c r="D13" s="234"/>
      <c r="E13" s="234"/>
      <c r="F13" s="234"/>
      <c r="G13" s="235"/>
      <c r="H13" s="234"/>
      <c r="I13" s="234"/>
      <c r="J13" s="234"/>
      <c r="K13" s="240"/>
      <c r="L13" s="239"/>
      <c r="M13" s="236"/>
      <c r="N13" s="237"/>
      <c r="O13" s="142">
        <f>O12</f>
        <v>2.4750000000000001</v>
      </c>
      <c r="P13" s="148">
        <v>0</v>
      </c>
      <c r="Q13" s="148">
        <v>0</v>
      </c>
      <c r="R13" s="179" t="str">
        <f>INDEX('Base Santa Maria'!$K$7:$K$23,MATCH('Desl. Base Santa Maria'!C13,'Base Santa Maria'!$B$7:$B$23,0))</f>
        <v>SIM</v>
      </c>
      <c r="S13" s="179">
        <v>1</v>
      </c>
    </row>
    <row r="14" spans="2:19" ht="15.95" customHeight="1">
      <c r="B14" s="141">
        <v>6</v>
      </c>
      <c r="C14" s="134" t="s">
        <v>93</v>
      </c>
      <c r="D14" s="135">
        <v>220</v>
      </c>
      <c r="E14" s="135">
        <v>220</v>
      </c>
      <c r="F14" s="135">
        <v>0</v>
      </c>
      <c r="G14" s="136">
        <f>SUM(D14:F14)</f>
        <v>440</v>
      </c>
      <c r="H14" s="135">
        <v>185</v>
      </c>
      <c r="I14" s="135">
        <v>185</v>
      </c>
      <c r="J14" s="135">
        <v>0</v>
      </c>
      <c r="K14" s="137">
        <f>SUM(H14:J14)</f>
        <v>370</v>
      </c>
      <c r="L14" s="142">
        <f t="shared" ref="L14:L15" si="15">K14/60</f>
        <v>6.166666666666667</v>
      </c>
      <c r="M14" s="148">
        <v>25.8</v>
      </c>
      <c r="N14" s="140">
        <v>1</v>
      </c>
      <c r="O14" s="142">
        <f t="shared" ref="O14:O15" si="16">L14/N14</f>
        <v>6.166666666666667</v>
      </c>
      <c r="P14" s="148">
        <f t="shared" ref="P14:P15" si="17">M14/N14</f>
        <v>25.8</v>
      </c>
      <c r="Q14" s="148">
        <f>$E$42/N14</f>
        <v>132.74</v>
      </c>
      <c r="R14" s="179" t="str">
        <f>INDEX('Base Santa Maria'!$K$7:$K$23,MATCH('Desl. Base Santa Maria'!C14,'Base Santa Maria'!$B$7:$B$23,0))</f>
        <v>SIM</v>
      </c>
      <c r="S14" s="179">
        <v>1</v>
      </c>
    </row>
    <row r="15" spans="2:19" ht="15.95" customHeight="1">
      <c r="B15" s="232">
        <v>7</v>
      </c>
      <c r="C15" s="134" t="s">
        <v>95</v>
      </c>
      <c r="D15" s="234">
        <v>348</v>
      </c>
      <c r="E15" s="234">
        <v>110</v>
      </c>
      <c r="F15" s="234">
        <v>244</v>
      </c>
      <c r="G15" s="235">
        <f t="shared" ref="G15" si="18">SUM(D15:F16)</f>
        <v>702</v>
      </c>
      <c r="H15" s="234">
        <v>248</v>
      </c>
      <c r="I15" s="234">
        <v>80</v>
      </c>
      <c r="J15" s="234">
        <v>184</v>
      </c>
      <c r="K15" s="240">
        <f t="shared" ref="K15" si="19">SUM(H15:J16)</f>
        <v>512</v>
      </c>
      <c r="L15" s="238">
        <f t="shared" si="15"/>
        <v>8.5333333333333332</v>
      </c>
      <c r="M15" s="236">
        <v>0</v>
      </c>
      <c r="N15" s="237">
        <v>2</v>
      </c>
      <c r="O15" s="142">
        <f t="shared" si="16"/>
        <v>4.2666666666666666</v>
      </c>
      <c r="P15" s="148">
        <f t="shared" si="17"/>
        <v>0</v>
      </c>
      <c r="Q15" s="148">
        <f>$E$42/N15</f>
        <v>66.37</v>
      </c>
      <c r="R15" s="179" t="str">
        <f>INDEX('Base Santa Maria'!$K$7:$K$23,MATCH('Desl. Base Santa Maria'!C15,'Base Santa Maria'!$B$7:$B$23,0))</f>
        <v>NÃO</v>
      </c>
      <c r="S15" s="179">
        <v>1</v>
      </c>
    </row>
    <row r="16" spans="2:19" ht="15.95" customHeight="1">
      <c r="B16" s="233"/>
      <c r="C16" s="134" t="s">
        <v>97</v>
      </c>
      <c r="D16" s="234"/>
      <c r="E16" s="234"/>
      <c r="F16" s="234"/>
      <c r="G16" s="235"/>
      <c r="H16" s="234"/>
      <c r="I16" s="234"/>
      <c r="J16" s="234"/>
      <c r="K16" s="240"/>
      <c r="L16" s="239"/>
      <c r="M16" s="236"/>
      <c r="N16" s="237"/>
      <c r="O16" s="142">
        <f>O15</f>
        <v>4.2666666666666666</v>
      </c>
      <c r="P16" s="148">
        <v>0</v>
      </c>
      <c r="Q16" s="148">
        <f>Q15</f>
        <v>66.37</v>
      </c>
      <c r="R16" s="179" t="str">
        <f>INDEX('Base Santa Maria'!$K$7:$K$23,MATCH('Desl. Base Santa Maria'!C16,'Base Santa Maria'!$B$7:$B$23,0))</f>
        <v>SIM</v>
      </c>
      <c r="S16" s="179">
        <v>1</v>
      </c>
    </row>
    <row r="17" spans="2:19" ht="15.95" customHeight="1">
      <c r="B17" s="245">
        <v>8</v>
      </c>
      <c r="C17" s="149" t="s">
        <v>77</v>
      </c>
      <c r="D17" s="234">
        <v>241</v>
      </c>
      <c r="E17" s="234">
        <f>314-D17</f>
        <v>73</v>
      </c>
      <c r="F17" s="234">
        <v>263</v>
      </c>
      <c r="G17" s="235">
        <f t="shared" ref="G17" si="20">SUM(D17:F18)</f>
        <v>577</v>
      </c>
      <c r="H17" s="234">
        <v>205</v>
      </c>
      <c r="I17" s="234">
        <f>260-H17</f>
        <v>55</v>
      </c>
      <c r="J17" s="234">
        <v>195</v>
      </c>
      <c r="K17" s="240">
        <f t="shared" ref="K17" si="21">SUM(H17:J18)</f>
        <v>455</v>
      </c>
      <c r="L17" s="238">
        <f t="shared" ref="L17" si="22">K17/60</f>
        <v>7.583333333333333</v>
      </c>
      <c r="M17" s="236">
        <v>0</v>
      </c>
      <c r="N17" s="237">
        <v>2</v>
      </c>
      <c r="O17" s="142">
        <f t="shared" ref="O17" si="23">L17/N17</f>
        <v>3.7916666666666665</v>
      </c>
      <c r="P17" s="148">
        <f t="shared" ref="P17" si="24">M17/N17</f>
        <v>0</v>
      </c>
      <c r="Q17" s="148">
        <f>$E$42/N17</f>
        <v>66.37</v>
      </c>
      <c r="R17" s="179" t="str">
        <f>INDEX('Base Santa Maria'!$K$7:$K$23,MATCH('Desl. Base Santa Maria'!C17,'Base Santa Maria'!$B$7:$B$23,0))</f>
        <v>SIM</v>
      </c>
      <c r="S17" s="179">
        <v>1</v>
      </c>
    </row>
    <row r="18" spans="2:19" ht="15.95" customHeight="1">
      <c r="B18" s="245"/>
      <c r="C18" s="134" t="s">
        <v>94</v>
      </c>
      <c r="D18" s="234"/>
      <c r="E18" s="234"/>
      <c r="F18" s="234"/>
      <c r="G18" s="235"/>
      <c r="H18" s="234"/>
      <c r="I18" s="234"/>
      <c r="J18" s="234"/>
      <c r="K18" s="240"/>
      <c r="L18" s="239"/>
      <c r="M18" s="236"/>
      <c r="N18" s="237"/>
      <c r="O18" s="142">
        <f>O17</f>
        <v>3.7916666666666665</v>
      </c>
      <c r="P18" s="148">
        <v>0</v>
      </c>
      <c r="Q18" s="148">
        <f>Q17</f>
        <v>66.37</v>
      </c>
      <c r="R18" s="179" t="str">
        <f>INDEX('Base Santa Maria'!$K$7:$K$23,MATCH('Desl. Base Santa Maria'!C18,'Base Santa Maria'!$B$7:$B$23,0))</f>
        <v>SIM</v>
      </c>
      <c r="S18" s="179">
        <v>1</v>
      </c>
    </row>
    <row r="19" spans="2:19" ht="15.95" customHeight="1">
      <c r="B19" s="141">
        <v>9</v>
      </c>
      <c r="C19" s="134" t="s">
        <v>99</v>
      </c>
      <c r="D19" s="135">
        <v>366</v>
      </c>
      <c r="E19" s="135">
        <v>366</v>
      </c>
      <c r="F19" s="135">
        <v>0</v>
      </c>
      <c r="G19" s="136">
        <f>SUM(D19:F19)</f>
        <v>732</v>
      </c>
      <c r="H19" s="135">
        <v>283</v>
      </c>
      <c r="I19" s="135">
        <v>283</v>
      </c>
      <c r="J19" s="135">
        <v>0</v>
      </c>
      <c r="K19" s="137">
        <f>SUM(H19:J19)</f>
        <v>566</v>
      </c>
      <c r="L19" s="142">
        <f t="shared" ref="L19:L20" si="25">K19/60</f>
        <v>9.4333333333333336</v>
      </c>
      <c r="M19" s="148">
        <v>0</v>
      </c>
      <c r="N19" s="140">
        <v>1</v>
      </c>
      <c r="O19" s="142">
        <f t="shared" ref="O19:O20" si="26">L19/N19</f>
        <v>9.4333333333333336</v>
      </c>
      <c r="P19" s="148">
        <f t="shared" ref="P19:P20" si="27">M19/N19</f>
        <v>0</v>
      </c>
      <c r="Q19" s="148">
        <f>$E$42/N19</f>
        <v>132.74</v>
      </c>
      <c r="R19" s="179" t="str">
        <f>INDEX('Base Santa Maria'!$K$7:$K$23,MATCH('Desl. Base Santa Maria'!C19,'Base Santa Maria'!$B$7:$B$23,0))</f>
        <v>SIM</v>
      </c>
      <c r="S19" s="179">
        <v>1</v>
      </c>
    </row>
    <row r="20" spans="2:19" ht="15.95" customHeight="1">
      <c r="B20" s="245">
        <v>10</v>
      </c>
      <c r="C20" s="134" t="s">
        <v>79</v>
      </c>
      <c r="D20" s="234">
        <v>240</v>
      </c>
      <c r="E20" s="234">
        <f>301-D20</f>
        <v>61</v>
      </c>
      <c r="F20" s="234">
        <v>247</v>
      </c>
      <c r="G20" s="235">
        <f t="shared" ref="G20" si="28">SUM(D20:F21)</f>
        <v>548</v>
      </c>
      <c r="H20" s="234">
        <v>224</v>
      </c>
      <c r="I20" s="234">
        <f>300-H20</f>
        <v>76</v>
      </c>
      <c r="J20" s="234">
        <v>260</v>
      </c>
      <c r="K20" s="240">
        <f t="shared" ref="K20" si="29">SUM(H20:J21)</f>
        <v>560</v>
      </c>
      <c r="L20" s="238">
        <f t="shared" si="25"/>
        <v>9.3333333333333339</v>
      </c>
      <c r="M20" s="236">
        <v>0</v>
      </c>
      <c r="N20" s="237">
        <v>2</v>
      </c>
      <c r="O20" s="142">
        <f t="shared" si="26"/>
        <v>4.666666666666667</v>
      </c>
      <c r="P20" s="148">
        <f t="shared" si="27"/>
        <v>0</v>
      </c>
      <c r="Q20" s="148">
        <f>$E$42/N20</f>
        <v>66.37</v>
      </c>
      <c r="R20" s="179" t="str">
        <f>INDEX('Base Santa Maria'!$K$7:$K$23,MATCH('Desl. Base Santa Maria'!C20,'Base Santa Maria'!$B$7:$B$23,0))</f>
        <v>NÃO</v>
      </c>
      <c r="S20" s="179">
        <v>0</v>
      </c>
    </row>
    <row r="21" spans="2:19" ht="15.95" customHeight="1">
      <c r="B21" s="245"/>
      <c r="C21" s="134" t="s">
        <v>81</v>
      </c>
      <c r="D21" s="234"/>
      <c r="E21" s="234"/>
      <c r="F21" s="234"/>
      <c r="G21" s="235"/>
      <c r="H21" s="234"/>
      <c r="I21" s="234"/>
      <c r="J21" s="234"/>
      <c r="K21" s="240"/>
      <c r="L21" s="239"/>
      <c r="M21" s="236"/>
      <c r="N21" s="237"/>
      <c r="O21" s="142">
        <f>O20</f>
        <v>4.666666666666667</v>
      </c>
      <c r="P21" s="148">
        <v>0</v>
      </c>
      <c r="Q21" s="148">
        <f>Q20</f>
        <v>66.37</v>
      </c>
      <c r="R21" s="179" t="str">
        <f>INDEX('Base Santa Maria'!$K$7:$K$23,MATCH('Desl. Base Santa Maria'!C21,'Base Santa Maria'!$B$7:$B$23,0))</f>
        <v>NÃO</v>
      </c>
      <c r="S21" s="179">
        <v>0</v>
      </c>
    </row>
    <row r="22" spans="2:19" ht="20.100000000000001" customHeight="1">
      <c r="B22" s="252" t="s">
        <v>100</v>
      </c>
      <c r="C22" s="253"/>
      <c r="D22" s="253"/>
      <c r="E22" s="253"/>
      <c r="F22" s="254"/>
      <c r="G22" s="88">
        <f>SUM(G5:G21)</f>
        <v>4631</v>
      </c>
      <c r="H22" s="241" t="s">
        <v>100</v>
      </c>
      <c r="I22" s="242"/>
      <c r="J22" s="243"/>
      <c r="K22" s="88">
        <f>SUM(K5:K21)</f>
        <v>3835</v>
      </c>
      <c r="L22" s="90">
        <f>SUM(L5:L21)</f>
        <v>63.916666666666664</v>
      </c>
      <c r="M22" s="89">
        <f>SUM(M5:M21)</f>
        <v>43</v>
      </c>
      <c r="N22" s="91">
        <f>SUM(N5:N21)</f>
        <v>17</v>
      </c>
      <c r="O22" s="90"/>
      <c r="P22" s="89"/>
      <c r="Q22" s="89">
        <f>SUM(Q5:Q21)</f>
        <v>929.18000000000006</v>
      </c>
      <c r="R22" s="89"/>
      <c r="S22" s="89"/>
    </row>
    <row r="23" spans="2:19" ht="17.100000000000001" customHeight="1">
      <c r="B23" s="38"/>
      <c r="C23" s="38"/>
      <c r="D23" s="38"/>
      <c r="E23" s="38"/>
      <c r="F23" s="38"/>
    </row>
    <row r="24" spans="2:19" ht="18.75" customHeight="1">
      <c r="B24" s="244" t="s">
        <v>117</v>
      </c>
      <c r="C24" s="244"/>
      <c r="D24" s="244"/>
      <c r="E24" s="244"/>
      <c r="F24" s="38"/>
      <c r="G24" s="38"/>
      <c r="H24" s="38"/>
      <c r="I24" s="38"/>
      <c r="J24" s="38"/>
      <c r="K24" s="38"/>
      <c r="L24" s="38"/>
      <c r="M24" s="38"/>
      <c r="N24" s="39"/>
      <c r="O24" s="39"/>
    </row>
    <row r="25" spans="2:19" ht="18.75" customHeight="1">
      <c r="B25" s="99" t="s">
        <v>118</v>
      </c>
      <c r="C25" s="99" t="s">
        <v>119</v>
      </c>
      <c r="D25" s="99" t="s">
        <v>120</v>
      </c>
      <c r="E25" s="99" t="s">
        <v>121</v>
      </c>
      <c r="F25" s="38"/>
      <c r="G25" s="38"/>
      <c r="H25" s="39"/>
      <c r="I25" s="39"/>
      <c r="J25" s="38"/>
      <c r="K25" s="38"/>
      <c r="L25" s="38"/>
      <c r="M25" s="38"/>
      <c r="N25" s="39"/>
      <c r="O25" s="39"/>
    </row>
    <row r="26" spans="2:19" ht="18.75" customHeight="1">
      <c r="B26" s="93" t="s">
        <v>122</v>
      </c>
      <c r="C26" s="92" t="s">
        <v>123</v>
      </c>
      <c r="D26" s="93" t="s">
        <v>124</v>
      </c>
      <c r="E26" s="94">
        <f>'Comp. Veículo'!D11</f>
        <v>50.55</v>
      </c>
      <c r="F26" s="38"/>
      <c r="G26" s="38"/>
      <c r="H26" s="40"/>
      <c r="I26" s="40"/>
      <c r="J26" s="38"/>
      <c r="K26" s="38"/>
      <c r="L26" s="38"/>
      <c r="M26" s="38"/>
      <c r="N26" s="39"/>
      <c r="O26" s="39"/>
    </row>
    <row r="27" spans="2:19" ht="18.75" customHeight="1">
      <c r="B27" s="96" t="s">
        <v>125</v>
      </c>
      <c r="C27" s="97" t="s">
        <v>123</v>
      </c>
      <c r="D27" s="96" t="s">
        <v>126</v>
      </c>
      <c r="E27" s="98">
        <f>'Comp. Veículo'!D27</f>
        <v>6.95</v>
      </c>
      <c r="F27" s="38"/>
      <c r="G27" s="38"/>
      <c r="H27" s="40"/>
      <c r="I27" s="40"/>
      <c r="J27" s="38"/>
      <c r="K27" s="38"/>
      <c r="L27" s="38"/>
      <c r="M27" s="38"/>
      <c r="N27" s="39"/>
      <c r="O27" s="39"/>
    </row>
    <row r="28" spans="2:19" ht="47.25" customHeight="1">
      <c r="B28" s="248" t="s">
        <v>127</v>
      </c>
      <c r="C28" s="248"/>
      <c r="D28" s="248"/>
      <c r="E28" s="248"/>
      <c r="F28" s="95"/>
      <c r="G28" s="95"/>
      <c r="H28" s="95"/>
      <c r="I28" s="95"/>
      <c r="J28" s="95"/>
      <c r="K28" s="95"/>
      <c r="L28" s="95"/>
      <c r="M28" s="38"/>
      <c r="N28" s="39"/>
      <c r="O28" s="39"/>
    </row>
    <row r="29" spans="2:19" ht="16.5" customHeight="1">
      <c r="B29" s="54"/>
      <c r="C29" s="54"/>
      <c r="D29" s="54"/>
      <c r="E29" s="54"/>
      <c r="F29" s="95"/>
      <c r="G29" s="95"/>
      <c r="H29" s="95"/>
      <c r="I29" s="95"/>
      <c r="J29" s="95"/>
      <c r="K29" s="95"/>
      <c r="L29" s="95"/>
      <c r="M29" s="38"/>
      <c r="N29" s="39"/>
      <c r="O29" s="39"/>
    </row>
    <row r="30" spans="2:19" ht="17.100000000000001" customHeight="1">
      <c r="B30" s="249" t="s">
        <v>128</v>
      </c>
      <c r="C30" s="250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9"/>
      <c r="O30" s="39"/>
    </row>
    <row r="31" spans="2:19" ht="17.100000000000001" customHeight="1">
      <c r="B31" s="93" t="s">
        <v>124</v>
      </c>
      <c r="C31" s="94">
        <f>E26*L22</f>
        <v>3230.9874999999997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9"/>
      <c r="O31" s="39"/>
    </row>
    <row r="32" spans="2:19" ht="17.100000000000001" customHeight="1">
      <c r="B32" s="93" t="s">
        <v>126</v>
      </c>
      <c r="C32" s="94">
        <f>E27*('Base Santa Maria'!N24/12)</f>
        <v>380.54145833333337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9"/>
      <c r="O32" s="39"/>
    </row>
    <row r="33" spans="2:15" ht="17.100000000000001" customHeight="1">
      <c r="B33" s="101" t="s">
        <v>25</v>
      </c>
      <c r="C33" s="100">
        <f>C31+C32</f>
        <v>3611.5289583333333</v>
      </c>
      <c r="D33" s="38"/>
      <c r="E33" s="38"/>
      <c r="F33" s="38"/>
      <c r="G33" s="38"/>
      <c r="H33" s="38"/>
      <c r="I33" s="38"/>
      <c r="M33" s="38"/>
      <c r="N33" s="39"/>
      <c r="O33" s="39"/>
    </row>
    <row r="34" spans="2:15" ht="17.100000000000001" customHeight="1">
      <c r="B34" s="38"/>
      <c r="C34" s="41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9"/>
      <c r="O34" s="39"/>
    </row>
    <row r="35" spans="2:15" ht="17.100000000000001" customHeight="1">
      <c r="B35" s="251" t="s">
        <v>129</v>
      </c>
      <c r="C35" s="251"/>
      <c r="D35" s="38"/>
      <c r="J35" s="38"/>
      <c r="K35" s="38"/>
      <c r="L35" s="38"/>
      <c r="M35" s="38"/>
      <c r="N35" s="39"/>
      <c r="O35" s="39"/>
    </row>
    <row r="36" spans="2:15" ht="17.100000000000001" customHeight="1">
      <c r="B36" s="115" t="s">
        <v>121</v>
      </c>
      <c r="C36" s="102">
        <f>SUM(M5:M21)</f>
        <v>43</v>
      </c>
      <c r="J36" s="38"/>
      <c r="K36" s="38"/>
      <c r="L36" s="38"/>
      <c r="M36" s="38"/>
      <c r="N36" s="39"/>
      <c r="O36" s="39"/>
    </row>
    <row r="37" spans="2:15" ht="17.100000000000001" customHeight="1">
      <c r="B37" s="38"/>
      <c r="C37" s="42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9"/>
      <c r="O37" s="39"/>
    </row>
    <row r="38" spans="2:15">
      <c r="B38" s="255" t="s">
        <v>130</v>
      </c>
      <c r="C38" s="256"/>
    </row>
    <row r="40" spans="2:15" ht="17.100000000000001" customHeight="1">
      <c r="B40" s="246" t="s">
        <v>63</v>
      </c>
      <c r="C40" s="246"/>
      <c r="D40" s="246"/>
      <c r="E40" s="246"/>
    </row>
    <row r="41" spans="2:15" ht="17.100000000000001" customHeight="1">
      <c r="B41" s="180" t="s">
        <v>279</v>
      </c>
      <c r="C41" s="180" t="s">
        <v>119</v>
      </c>
      <c r="D41" s="180" t="s">
        <v>120</v>
      </c>
      <c r="E41" s="180" t="s">
        <v>121</v>
      </c>
    </row>
    <row r="42" spans="2:15" ht="28.5" customHeight="1">
      <c r="B42" s="96" t="s">
        <v>280</v>
      </c>
      <c r="C42" s="181" t="s">
        <v>281</v>
      </c>
      <c r="D42" s="96" t="s">
        <v>282</v>
      </c>
      <c r="E42" s="182">
        <v>132.74</v>
      </c>
    </row>
    <row r="43" spans="2:15" ht="24" customHeight="1">
      <c r="B43" s="247" t="s">
        <v>283</v>
      </c>
      <c r="C43" s="247"/>
      <c r="D43" s="247"/>
      <c r="E43" s="247"/>
    </row>
  </sheetData>
  <mergeCells count="94">
    <mergeCell ref="B40:E40"/>
    <mergeCell ref="B43:E43"/>
    <mergeCell ref="G15:G16"/>
    <mergeCell ref="B17:B18"/>
    <mergeCell ref="D17:D18"/>
    <mergeCell ref="B28:E28"/>
    <mergeCell ref="B30:C30"/>
    <mergeCell ref="B35:C35"/>
    <mergeCell ref="B22:F22"/>
    <mergeCell ref="B38:C38"/>
    <mergeCell ref="E17:E18"/>
    <mergeCell ref="F17:F18"/>
    <mergeCell ref="B15:B16"/>
    <mergeCell ref="D15:D16"/>
    <mergeCell ref="E15:E16"/>
    <mergeCell ref="F15:F16"/>
    <mergeCell ref="M17:M18"/>
    <mergeCell ref="N17:N18"/>
    <mergeCell ref="H17:H18"/>
    <mergeCell ref="I17:I18"/>
    <mergeCell ref="J17:J18"/>
    <mergeCell ref="K17:K18"/>
    <mergeCell ref="L17:L18"/>
    <mergeCell ref="H15:H16"/>
    <mergeCell ref="I15:I16"/>
    <mergeCell ref="J15:J16"/>
    <mergeCell ref="K15:K16"/>
    <mergeCell ref="L15:L16"/>
    <mergeCell ref="B2:Q2"/>
    <mergeCell ref="B6:B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B8:B9"/>
    <mergeCell ref="D8:D9"/>
    <mergeCell ref="E8:E9"/>
    <mergeCell ref="F8:F9"/>
    <mergeCell ref="G8:G9"/>
    <mergeCell ref="H8:H9"/>
    <mergeCell ref="I8:I9"/>
    <mergeCell ref="J8:J9"/>
    <mergeCell ref="K8:K9"/>
    <mergeCell ref="I10:I11"/>
    <mergeCell ref="J10:J11"/>
    <mergeCell ref="K10:K11"/>
    <mergeCell ref="H10:H11"/>
    <mergeCell ref="H22:J22"/>
    <mergeCell ref="B24:E24"/>
    <mergeCell ref="N20:N21"/>
    <mergeCell ref="B20:B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G17:G18"/>
    <mergeCell ref="M15:M16"/>
    <mergeCell ref="N15:N16"/>
    <mergeCell ref="L8:L9"/>
    <mergeCell ref="M8:M9"/>
    <mergeCell ref="N8:N9"/>
    <mergeCell ref="L10:L11"/>
    <mergeCell ref="M10:M11"/>
    <mergeCell ref="N10:N11"/>
    <mergeCell ref="H12:H13"/>
    <mergeCell ref="I12:I13"/>
    <mergeCell ref="J12:J13"/>
    <mergeCell ref="K12:K13"/>
    <mergeCell ref="L12:L13"/>
    <mergeCell ref="M12:M13"/>
    <mergeCell ref="N12:N13"/>
    <mergeCell ref="B12:B13"/>
    <mergeCell ref="D12:D13"/>
    <mergeCell ref="E12:E13"/>
    <mergeCell ref="F12:F13"/>
    <mergeCell ref="G12:G13"/>
    <mergeCell ref="B10:B11"/>
    <mergeCell ref="D10:D11"/>
    <mergeCell ref="E10:E11"/>
    <mergeCell ref="F10:F11"/>
    <mergeCell ref="G10:G11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ignoredErrors>
    <ignoredError sqref="K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2792E-6D55-4139-A26F-D9F6684997E9}">
  <sheetPr>
    <tabColor theme="0"/>
  </sheetPr>
  <dimension ref="B1:F16"/>
  <sheetViews>
    <sheetView zoomScale="110" zoomScaleNormal="110" workbookViewId="0">
      <selection activeCell="I19" sqref="I19"/>
    </sheetView>
  </sheetViews>
  <sheetFormatPr defaultColWidth="10.125" defaultRowHeight="12.75"/>
  <cols>
    <col min="1" max="1" width="5" style="151" customWidth="1"/>
    <col min="2" max="2" width="33.625" style="151" customWidth="1"/>
    <col min="3" max="3" width="27.75" style="151" customWidth="1"/>
    <col min="4" max="4" width="15" style="151" customWidth="1"/>
    <col min="5" max="5" width="7.5" style="151" customWidth="1"/>
    <col min="6" max="16384" width="10.125" style="151"/>
  </cols>
  <sheetData>
    <row r="1" spans="2:6" ht="15" customHeight="1"/>
    <row r="2" spans="2:6" ht="15" customHeight="1">
      <c r="C2" s="183" t="s">
        <v>233</v>
      </c>
    </row>
    <row r="3" spans="2:6" ht="15" customHeight="1">
      <c r="B3" s="153" t="s">
        <v>284</v>
      </c>
      <c r="C3" s="183" t="s">
        <v>285</v>
      </c>
    </row>
    <row r="4" spans="2:6" ht="15" customHeight="1">
      <c r="B4" s="153" t="s">
        <v>286</v>
      </c>
      <c r="C4" s="154" t="s">
        <v>287</v>
      </c>
    </row>
    <row r="5" spans="2:6" ht="15" customHeight="1">
      <c r="B5" s="153" t="s">
        <v>238</v>
      </c>
      <c r="C5" s="154">
        <v>45200</v>
      </c>
    </row>
    <row r="6" spans="2:6" ht="15" customHeight="1">
      <c r="B6" s="153" t="s">
        <v>288</v>
      </c>
      <c r="C6" s="155">
        <v>56.25</v>
      </c>
    </row>
    <row r="7" spans="2:6">
      <c r="B7" s="184"/>
      <c r="C7" s="185"/>
    </row>
    <row r="8" spans="2:6" ht="27.75" customHeight="1">
      <c r="B8" s="158" t="s">
        <v>289</v>
      </c>
      <c r="C8" s="186" t="s">
        <v>290</v>
      </c>
    </row>
    <row r="9" spans="2:6" ht="15" customHeight="1">
      <c r="B9" s="153" t="s">
        <v>243</v>
      </c>
      <c r="C9" s="159">
        <v>0.83340000000000003</v>
      </c>
    </row>
    <row r="10" spans="2:6" ht="15" customHeight="1">
      <c r="B10" s="153" t="s">
        <v>245</v>
      </c>
      <c r="C10" s="159">
        <v>1.1276999999999999</v>
      </c>
    </row>
    <row r="11" spans="2:6" ht="14.1" customHeight="1">
      <c r="B11" s="184"/>
      <c r="C11" s="184"/>
    </row>
    <row r="12" spans="2:6" ht="15" customHeight="1">
      <c r="B12" s="160" t="s">
        <v>291</v>
      </c>
      <c r="C12" s="161"/>
    </row>
    <row r="13" spans="2:6" ht="15" customHeight="1">
      <c r="B13" s="187" t="s">
        <v>292</v>
      </c>
      <c r="C13" s="188">
        <f>C6*(1+C9)</f>
        <v>103.12875000000001</v>
      </c>
      <c r="D13" s="189"/>
      <c r="F13" s="190"/>
    </row>
    <row r="14" spans="2:6" ht="15" customHeight="1">
      <c r="B14" s="187" t="s">
        <v>293</v>
      </c>
      <c r="C14" s="188">
        <f>C6*(1+C10)</f>
        <v>119.68312499999999</v>
      </c>
      <c r="D14" s="189"/>
      <c r="F14" s="190"/>
    </row>
    <row r="16" spans="2:6" ht="40.5" customHeight="1">
      <c r="B16" s="257" t="s">
        <v>294</v>
      </c>
      <c r="C16" s="257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9E202-384A-4B47-B153-BC48C71D3F9F}">
  <sheetPr>
    <tabColor rgb="FFFFFFFF"/>
  </sheetPr>
  <dimension ref="B1:K20"/>
  <sheetViews>
    <sheetView zoomScale="110" zoomScaleNormal="110" workbookViewId="0">
      <selection activeCell="G16" sqref="G16"/>
    </sheetView>
  </sheetViews>
  <sheetFormatPr defaultColWidth="8.125" defaultRowHeight="12.75"/>
  <cols>
    <col min="1" max="1" width="5" style="165" customWidth="1"/>
    <col min="2" max="2" width="2.875" style="165" customWidth="1"/>
    <col min="3" max="3" width="11.75" style="165" customWidth="1"/>
    <col min="4" max="4" width="57.75" style="165" customWidth="1"/>
    <col min="5" max="5" width="28.875" style="165" customWidth="1"/>
    <col min="6" max="6" width="9.625" style="165" customWidth="1"/>
    <col min="7" max="7" width="13.25" style="165" customWidth="1"/>
    <col min="8" max="8" width="11.5" style="165" customWidth="1"/>
    <col min="9" max="9" width="13.5" style="165" customWidth="1"/>
    <col min="10" max="1026" width="8.25" style="165" customWidth="1"/>
    <col min="1027" max="16384" width="8.125" style="165"/>
  </cols>
  <sheetData>
    <row r="1" spans="2:11" ht="15" customHeight="1"/>
    <row r="2" spans="2:11" ht="24.75" customHeight="1">
      <c r="B2" s="258" t="s">
        <v>295</v>
      </c>
      <c r="C2" s="258"/>
      <c r="D2" s="258"/>
      <c r="E2" s="258"/>
      <c r="F2" s="258"/>
      <c r="G2" s="258"/>
      <c r="H2" s="258"/>
      <c r="I2" s="258"/>
    </row>
    <row r="3" spans="2:11" ht="20.100000000000001" customHeight="1"/>
    <row r="4" spans="2:11" ht="16.5" customHeight="1">
      <c r="B4" s="259" t="s">
        <v>296</v>
      </c>
      <c r="C4" s="259"/>
      <c r="D4" s="259"/>
      <c r="E4" s="259"/>
      <c r="F4" s="259"/>
      <c r="G4" s="259"/>
      <c r="H4" s="259"/>
      <c r="I4" s="259"/>
    </row>
    <row r="5" spans="2:11" ht="16.5" customHeight="1">
      <c r="B5" s="260" t="s">
        <v>133</v>
      </c>
      <c r="C5" s="260"/>
      <c r="D5" s="261">
        <v>91677</v>
      </c>
      <c r="E5" s="261"/>
      <c r="F5" s="261"/>
      <c r="G5" s="261"/>
      <c r="H5" s="261"/>
      <c r="I5" s="261"/>
    </row>
    <row r="6" spans="2:11" ht="16.5" customHeight="1">
      <c r="B6" s="260" t="s">
        <v>119</v>
      </c>
      <c r="C6" s="260"/>
      <c r="D6" s="261" t="s">
        <v>297</v>
      </c>
      <c r="E6" s="261"/>
      <c r="F6" s="261"/>
      <c r="G6" s="261"/>
      <c r="H6" s="261"/>
      <c r="I6" s="261"/>
    </row>
    <row r="7" spans="2:11" ht="16.5" customHeight="1">
      <c r="B7" s="260" t="s">
        <v>136</v>
      </c>
      <c r="C7" s="260"/>
      <c r="D7" s="264" t="s">
        <v>232</v>
      </c>
      <c r="E7" s="264"/>
      <c r="F7" s="264"/>
      <c r="G7" s="264"/>
      <c r="H7" s="264"/>
      <c r="I7" s="264"/>
    </row>
    <row r="8" spans="2:11" ht="16.5" customHeight="1">
      <c r="B8" s="260" t="s">
        <v>137</v>
      </c>
      <c r="C8" s="260"/>
      <c r="D8" s="261" t="s">
        <v>233</v>
      </c>
      <c r="E8" s="261"/>
      <c r="F8" s="261"/>
      <c r="G8" s="261"/>
      <c r="H8" s="261"/>
      <c r="I8" s="261"/>
    </row>
    <row r="9" spans="2:11" ht="16.5" customHeight="1">
      <c r="B9" s="260" t="s">
        <v>139</v>
      </c>
      <c r="C9" s="260"/>
      <c r="D9" s="261" t="s">
        <v>259</v>
      </c>
      <c r="E9" s="261"/>
      <c r="F9" s="261"/>
      <c r="G9" s="261"/>
      <c r="H9" s="261"/>
      <c r="I9" s="261"/>
    </row>
    <row r="10" spans="2:11" ht="16.5" customHeight="1">
      <c r="B10" s="260" t="s">
        <v>120</v>
      </c>
      <c r="C10" s="260"/>
      <c r="D10" s="261" t="s">
        <v>147</v>
      </c>
      <c r="E10" s="261"/>
      <c r="F10" s="261"/>
      <c r="G10" s="261"/>
      <c r="H10" s="261"/>
      <c r="I10" s="261"/>
    </row>
    <row r="11" spans="2:11" ht="23.25" customHeight="1">
      <c r="B11" s="262" t="s">
        <v>141</v>
      </c>
      <c r="C11" s="262"/>
      <c r="D11" s="263">
        <f>SUM(I14:I19)</f>
        <v>108.89875000000001</v>
      </c>
      <c r="E11" s="263"/>
      <c r="F11" s="263"/>
      <c r="G11" s="263"/>
      <c r="H11" s="263"/>
      <c r="I11" s="263"/>
    </row>
    <row r="12" spans="2:11" ht="15.75" customHeight="1">
      <c r="B12" s="166"/>
      <c r="C12" s="166"/>
      <c r="D12" s="167"/>
      <c r="E12" s="167"/>
      <c r="F12" s="167"/>
      <c r="G12" s="167"/>
      <c r="H12" s="167"/>
      <c r="I12" s="167"/>
    </row>
    <row r="13" spans="2:11" ht="30">
      <c r="B13" s="168"/>
      <c r="C13" s="168" t="s">
        <v>142</v>
      </c>
      <c r="D13" s="168" t="s">
        <v>119</v>
      </c>
      <c r="E13" s="168" t="s">
        <v>139</v>
      </c>
      <c r="F13" s="168" t="s">
        <v>120</v>
      </c>
      <c r="G13" s="168" t="s">
        <v>298</v>
      </c>
      <c r="H13" s="168" t="s">
        <v>143</v>
      </c>
      <c r="I13" s="168" t="s">
        <v>299</v>
      </c>
    </row>
    <row r="14" spans="2:11" ht="20.100000000000001" customHeight="1">
      <c r="B14" s="169" t="s">
        <v>213</v>
      </c>
      <c r="C14" s="169" t="s">
        <v>300</v>
      </c>
      <c r="D14" s="169" t="s">
        <v>301</v>
      </c>
      <c r="E14" s="169" t="s">
        <v>302</v>
      </c>
      <c r="F14" s="169" t="s">
        <v>147</v>
      </c>
      <c r="G14" s="171">
        <v>3.84</v>
      </c>
      <c r="H14" s="171">
        <v>1</v>
      </c>
      <c r="I14" s="172">
        <f t="shared" ref="I14:I19" si="0">G14*H14</f>
        <v>3.84</v>
      </c>
      <c r="J14" s="173"/>
      <c r="K14" s="173"/>
    </row>
    <row r="15" spans="2:11" ht="20.100000000000001" customHeight="1">
      <c r="B15" s="169" t="s">
        <v>213</v>
      </c>
      <c r="C15" s="169" t="s">
        <v>303</v>
      </c>
      <c r="D15" s="169" t="s">
        <v>285</v>
      </c>
      <c r="E15" s="169" t="s">
        <v>264</v>
      </c>
      <c r="F15" s="169" t="s">
        <v>147</v>
      </c>
      <c r="G15" s="171">
        <f>'Custo Eng. Eletricista'!C13</f>
        <v>103.12875000000001</v>
      </c>
      <c r="H15" s="171">
        <v>1</v>
      </c>
      <c r="I15" s="172">
        <f t="shared" si="0"/>
        <v>103.12875000000001</v>
      </c>
      <c r="J15" s="173"/>
      <c r="K15" s="173"/>
    </row>
    <row r="16" spans="2:11" ht="30" customHeight="1">
      <c r="B16" s="169" t="s">
        <v>213</v>
      </c>
      <c r="C16" s="169" t="s">
        <v>304</v>
      </c>
      <c r="D16" s="169" t="s">
        <v>269</v>
      </c>
      <c r="E16" s="169" t="s">
        <v>266</v>
      </c>
      <c r="F16" s="169" t="s">
        <v>147</v>
      </c>
      <c r="G16" s="171" t="s">
        <v>305</v>
      </c>
      <c r="H16" s="171">
        <v>1</v>
      </c>
      <c r="I16" s="172">
        <f t="shared" si="0"/>
        <v>1.1399999999999999</v>
      </c>
      <c r="J16" s="173"/>
      <c r="K16" s="173"/>
    </row>
    <row r="17" spans="2:11" ht="30" customHeight="1">
      <c r="B17" s="169" t="s">
        <v>213</v>
      </c>
      <c r="C17" s="169" t="s">
        <v>306</v>
      </c>
      <c r="D17" s="169" t="s">
        <v>270</v>
      </c>
      <c r="E17" s="169" t="s">
        <v>271</v>
      </c>
      <c r="F17" s="169" t="s">
        <v>147</v>
      </c>
      <c r="G17" s="171" t="s">
        <v>307</v>
      </c>
      <c r="H17" s="171">
        <v>1</v>
      </c>
      <c r="I17" s="172">
        <f t="shared" si="0"/>
        <v>7.0000000000000007E-2</v>
      </c>
      <c r="J17" s="173"/>
      <c r="K17" s="173"/>
    </row>
    <row r="18" spans="2:11" ht="30" customHeight="1">
      <c r="B18" s="169" t="s">
        <v>213</v>
      </c>
      <c r="C18" s="169" t="s">
        <v>308</v>
      </c>
      <c r="D18" s="169" t="s">
        <v>309</v>
      </c>
      <c r="E18" s="169" t="s">
        <v>273</v>
      </c>
      <c r="F18" s="169" t="s">
        <v>147</v>
      </c>
      <c r="G18" s="171" t="s">
        <v>310</v>
      </c>
      <c r="H18" s="171">
        <v>1</v>
      </c>
      <c r="I18" s="172">
        <f t="shared" si="0"/>
        <v>0.01</v>
      </c>
      <c r="J18" s="173"/>
      <c r="K18" s="173"/>
    </row>
    <row r="19" spans="2:11" ht="30" customHeight="1">
      <c r="B19" s="169" t="s">
        <v>213</v>
      </c>
      <c r="C19" s="169" t="s">
        <v>311</v>
      </c>
      <c r="D19" s="169" t="s">
        <v>312</v>
      </c>
      <c r="E19" s="169" t="s">
        <v>273</v>
      </c>
      <c r="F19" s="169" t="s">
        <v>147</v>
      </c>
      <c r="G19" s="171" t="s">
        <v>313</v>
      </c>
      <c r="H19" s="171">
        <v>1</v>
      </c>
      <c r="I19" s="172">
        <f t="shared" si="0"/>
        <v>0.71</v>
      </c>
      <c r="J19" s="173"/>
      <c r="K19" s="173"/>
    </row>
    <row r="20" spans="2:11" ht="20.100000000000001" customHeight="1"/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29272-1F6D-4D21-A920-953DBFE116B2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51" customWidth="1"/>
    <col min="2" max="2" width="47.25" style="151" customWidth="1"/>
    <col min="3" max="3" width="37.125" style="151" customWidth="1"/>
    <col min="4" max="4" width="29.875" style="151" customWidth="1"/>
    <col min="5" max="5" width="14.25" style="151" customWidth="1"/>
    <col min="6" max="16384" width="10.125" style="151"/>
  </cols>
  <sheetData>
    <row r="1" spans="2:5" ht="15" customHeight="1"/>
    <row r="2" spans="2:5">
      <c r="C2" s="152" t="s">
        <v>233</v>
      </c>
    </row>
    <row r="3" spans="2:5">
      <c r="B3" s="153" t="s">
        <v>234</v>
      </c>
      <c r="C3" s="152" t="s">
        <v>235</v>
      </c>
    </row>
    <row r="4" spans="2:5" ht="15">
      <c r="B4" s="153" t="s">
        <v>236</v>
      </c>
      <c r="C4" s="154" t="s">
        <v>237</v>
      </c>
    </row>
    <row r="5" spans="2:5">
      <c r="B5" s="153" t="s">
        <v>238</v>
      </c>
      <c r="C5" s="154">
        <v>45078</v>
      </c>
    </row>
    <row r="6" spans="2:5" ht="25.5">
      <c r="B6" s="153" t="s">
        <v>239</v>
      </c>
      <c r="C6" s="154" t="s">
        <v>240</v>
      </c>
    </row>
    <row r="7" spans="2:5">
      <c r="B7" s="153" t="s">
        <v>241</v>
      </c>
      <c r="C7" s="155">
        <v>2140.6</v>
      </c>
    </row>
    <row r="8" spans="2:5">
      <c r="B8" s="156"/>
      <c r="C8" s="157"/>
    </row>
    <row r="9" spans="2:5" ht="25.5">
      <c r="B9" s="158" t="s">
        <v>242</v>
      </c>
      <c r="C9" s="153"/>
    </row>
    <row r="10" spans="2:5">
      <c r="B10" s="153" t="s">
        <v>243</v>
      </c>
      <c r="C10" s="159">
        <v>0.83340000000000003</v>
      </c>
    </row>
    <row r="11" spans="2:5">
      <c r="B11" s="153" t="s">
        <v>244</v>
      </c>
      <c r="C11" s="159">
        <v>0.4632</v>
      </c>
    </row>
    <row r="12" spans="2:5">
      <c r="B12" s="153" t="s">
        <v>245</v>
      </c>
      <c r="C12" s="159">
        <v>1.1276999999999999</v>
      </c>
    </row>
    <row r="13" spans="2:5">
      <c r="B13" s="153" t="s">
        <v>246</v>
      </c>
      <c r="C13" s="159">
        <v>0.69879999999999998</v>
      </c>
    </row>
    <row r="14" spans="2:5" ht="14.1" customHeight="1">
      <c r="B14" s="156"/>
      <c r="C14" s="156"/>
    </row>
    <row r="15" spans="2:5">
      <c r="B15" s="160" t="s">
        <v>247</v>
      </c>
      <c r="C15" s="161"/>
    </row>
    <row r="16" spans="2:5" ht="15.75">
      <c r="B16" s="153" t="s">
        <v>248</v>
      </c>
      <c r="C16" s="161">
        <f>C7*(1+C11)</f>
        <v>3132.12592</v>
      </c>
      <c r="D16" s="162"/>
      <c r="E16" s="162"/>
    </row>
    <row r="17" spans="2:5" ht="15.75">
      <c r="B17" s="153" t="s">
        <v>249</v>
      </c>
      <c r="C17" s="161">
        <f>C7*(1+C13)</f>
        <v>3636.4512799999998</v>
      </c>
      <c r="D17" s="162"/>
      <c r="E17" s="162"/>
    </row>
    <row r="18" spans="2:5" ht="15.75">
      <c r="B18" s="153" t="s">
        <v>250</v>
      </c>
      <c r="C18" s="163">
        <f>C16*(1+C10)/(220*(1+C11))</f>
        <v>17.838982000000001</v>
      </c>
      <c r="D18" s="164"/>
      <c r="E18" s="162"/>
    </row>
    <row r="19" spans="2:5" ht="15.75">
      <c r="B19" s="153" t="s">
        <v>251</v>
      </c>
      <c r="C19" s="163">
        <f>(C17*(1+C12)/(220*(1+C13)))</f>
        <v>20.702520999999997</v>
      </c>
      <c r="D19" s="164"/>
      <c r="E19" s="162"/>
    </row>
    <row r="21" spans="2:5">
      <c r="B21" s="151" t="s">
        <v>252</v>
      </c>
    </row>
    <row r="22" spans="2:5" ht="69.95" customHeight="1"/>
    <row r="23" spans="2:5" ht="34.5" customHeight="1">
      <c r="B23" s="257" t="s">
        <v>253</v>
      </c>
      <c r="C23" s="257"/>
    </row>
    <row r="24" spans="2:5" ht="34.35" customHeight="1">
      <c r="B24" s="257" t="s">
        <v>254</v>
      </c>
      <c r="C24" s="257"/>
    </row>
    <row r="25" spans="2:5" ht="30" customHeight="1">
      <c r="B25" s="257" t="s">
        <v>255</v>
      </c>
      <c r="C25" s="257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2C3E5-805E-4C56-8B57-E3D803CB8C4D}">
  <sheetPr>
    <tabColor rgb="FFFFFFFF"/>
  </sheetPr>
  <dimension ref="B1:K22"/>
  <sheetViews>
    <sheetView zoomScale="110" zoomScaleNormal="110" workbookViewId="0">
      <selection activeCell="K14" sqref="K14"/>
    </sheetView>
  </sheetViews>
  <sheetFormatPr defaultColWidth="8.125" defaultRowHeight="12.75"/>
  <cols>
    <col min="1" max="1" width="5.625" style="165" customWidth="1"/>
    <col min="2" max="2" width="2.875" style="165" customWidth="1"/>
    <col min="3" max="3" width="11.75" style="165" customWidth="1"/>
    <col min="4" max="4" width="57.75" style="165" customWidth="1"/>
    <col min="5" max="5" width="28.875" style="165" customWidth="1"/>
    <col min="6" max="6" width="9.625" style="165" customWidth="1"/>
    <col min="7" max="7" width="13.25" style="165" customWidth="1"/>
    <col min="8" max="8" width="11.5" style="165" customWidth="1"/>
    <col min="9" max="9" width="13.5" style="165" customWidth="1"/>
    <col min="10" max="1026" width="8.25" style="165" customWidth="1"/>
    <col min="1027" max="16384" width="8.125" style="165"/>
  </cols>
  <sheetData>
    <row r="1" spans="2:11" ht="15" customHeight="1"/>
    <row r="2" spans="2:11" ht="24.75" customHeight="1">
      <c r="B2" s="258" t="s">
        <v>256</v>
      </c>
      <c r="C2" s="258"/>
      <c r="D2" s="258"/>
      <c r="E2" s="258"/>
      <c r="F2" s="258"/>
      <c r="G2" s="258"/>
      <c r="H2" s="258"/>
      <c r="I2" s="258"/>
    </row>
    <row r="3" spans="2:11" ht="21" customHeight="1"/>
    <row r="4" spans="2:11" ht="16.5" customHeight="1">
      <c r="B4" s="259" t="s">
        <v>257</v>
      </c>
      <c r="C4" s="259"/>
      <c r="D4" s="259"/>
      <c r="E4" s="259"/>
      <c r="F4" s="259"/>
      <c r="G4" s="259"/>
      <c r="H4" s="259"/>
      <c r="I4" s="259"/>
    </row>
    <row r="5" spans="2:11" ht="16.5" customHeight="1">
      <c r="B5" s="260" t="s">
        <v>133</v>
      </c>
      <c r="C5" s="260"/>
      <c r="D5" s="261">
        <v>88264</v>
      </c>
      <c r="E5" s="261"/>
      <c r="F5" s="261"/>
      <c r="G5" s="261"/>
      <c r="H5" s="261"/>
      <c r="I5" s="261"/>
    </row>
    <row r="6" spans="2:11" ht="16.5" customHeight="1">
      <c r="B6" s="260" t="s">
        <v>119</v>
      </c>
      <c r="C6" s="260"/>
      <c r="D6" s="261" t="s">
        <v>258</v>
      </c>
      <c r="E6" s="261"/>
      <c r="F6" s="261"/>
      <c r="G6" s="261"/>
      <c r="H6" s="261"/>
      <c r="I6" s="261"/>
    </row>
    <row r="7" spans="2:11" ht="16.5" customHeight="1">
      <c r="B7" s="260" t="s">
        <v>136</v>
      </c>
      <c r="C7" s="260"/>
      <c r="D7" s="265" t="s">
        <v>232</v>
      </c>
      <c r="E7" s="265"/>
      <c r="F7" s="265"/>
      <c r="G7" s="265"/>
      <c r="H7" s="265"/>
      <c r="I7" s="265"/>
    </row>
    <row r="8" spans="2:11" ht="16.5" customHeight="1">
      <c r="B8" s="260" t="s">
        <v>137</v>
      </c>
      <c r="C8" s="260"/>
      <c r="D8" s="261" t="s">
        <v>233</v>
      </c>
      <c r="E8" s="261"/>
      <c r="F8" s="261"/>
      <c r="G8" s="261"/>
      <c r="H8" s="261"/>
      <c r="I8" s="261"/>
    </row>
    <row r="9" spans="2:11" ht="16.5" customHeight="1">
      <c r="B9" s="260" t="s">
        <v>139</v>
      </c>
      <c r="C9" s="260"/>
      <c r="D9" s="261" t="s">
        <v>259</v>
      </c>
      <c r="E9" s="261"/>
      <c r="F9" s="261"/>
      <c r="G9" s="261"/>
      <c r="H9" s="261"/>
      <c r="I9" s="261"/>
    </row>
    <row r="10" spans="2:11" ht="16.5" customHeight="1">
      <c r="B10" s="260" t="s">
        <v>120</v>
      </c>
      <c r="C10" s="260"/>
      <c r="D10" s="261" t="s">
        <v>147</v>
      </c>
      <c r="E10" s="261"/>
      <c r="F10" s="261"/>
      <c r="G10" s="261"/>
      <c r="H10" s="261"/>
      <c r="I10" s="261"/>
    </row>
    <row r="11" spans="2:11" ht="23.25" customHeight="1">
      <c r="B11" s="262" t="s">
        <v>141</v>
      </c>
      <c r="C11" s="262"/>
      <c r="D11" s="263">
        <f>SUM(I14:I22)</f>
        <v>24.41</v>
      </c>
      <c r="E11" s="263"/>
      <c r="F11" s="263"/>
      <c r="G11" s="263"/>
      <c r="H11" s="263"/>
      <c r="I11" s="263"/>
    </row>
    <row r="12" spans="2:11" ht="15.75" customHeight="1">
      <c r="B12" s="166"/>
      <c r="C12" s="166"/>
      <c r="D12" s="167"/>
      <c r="E12" s="167"/>
      <c r="F12" s="167"/>
      <c r="G12" s="167"/>
      <c r="H12" s="167"/>
      <c r="I12" s="167"/>
    </row>
    <row r="13" spans="2:11" ht="45">
      <c r="B13" s="168"/>
      <c r="C13" s="168" t="s">
        <v>142</v>
      </c>
      <c r="D13" s="168" t="s">
        <v>119</v>
      </c>
      <c r="E13" s="168" t="s">
        <v>139</v>
      </c>
      <c r="F13" s="168" t="s">
        <v>120</v>
      </c>
      <c r="G13" s="168" t="s">
        <v>260</v>
      </c>
      <c r="H13" s="168" t="s">
        <v>143</v>
      </c>
      <c r="I13" s="168" t="s">
        <v>141</v>
      </c>
    </row>
    <row r="14" spans="2:11" ht="27.75" customHeight="1">
      <c r="B14" s="169" t="s">
        <v>144</v>
      </c>
      <c r="C14" s="169">
        <v>95332</v>
      </c>
      <c r="D14" s="169" t="s">
        <v>261</v>
      </c>
      <c r="E14" s="169" t="s">
        <v>259</v>
      </c>
      <c r="F14" s="169" t="s">
        <v>147</v>
      </c>
      <c r="G14" s="170">
        <v>0.74</v>
      </c>
      <c r="H14" s="171">
        <v>1</v>
      </c>
      <c r="I14" s="172">
        <f t="shared" ref="I14:I22" si="0">G14*H14</f>
        <v>0.74</v>
      </c>
      <c r="J14" s="173"/>
      <c r="K14" s="173"/>
    </row>
    <row r="15" spans="2:11" ht="32.85" customHeight="1">
      <c r="B15" s="169" t="s">
        <v>213</v>
      </c>
      <c r="C15" s="169" t="s">
        <v>262</v>
      </c>
      <c r="D15" s="169" t="s">
        <v>263</v>
      </c>
      <c r="E15" s="169" t="s">
        <v>264</v>
      </c>
      <c r="F15" s="169" t="s">
        <v>147</v>
      </c>
      <c r="G15" s="170">
        <v>17.84</v>
      </c>
      <c r="H15" s="171">
        <v>1</v>
      </c>
      <c r="I15" s="172">
        <f t="shared" si="0"/>
        <v>17.84</v>
      </c>
      <c r="J15" s="173"/>
      <c r="K15" s="173"/>
    </row>
    <row r="16" spans="2:11" ht="42" customHeight="1">
      <c r="B16" s="169" t="s">
        <v>213</v>
      </c>
      <c r="C16" s="169">
        <v>37370</v>
      </c>
      <c r="D16" s="169" t="s">
        <v>265</v>
      </c>
      <c r="E16" s="169" t="s">
        <v>266</v>
      </c>
      <c r="F16" s="169" t="s">
        <v>147</v>
      </c>
      <c r="G16" s="170">
        <v>1.27</v>
      </c>
      <c r="H16" s="171">
        <v>1</v>
      </c>
      <c r="I16" s="172">
        <f t="shared" si="0"/>
        <v>1.27</v>
      </c>
      <c r="J16" s="173"/>
      <c r="K16" s="173"/>
    </row>
    <row r="17" spans="2:11" ht="27.75" customHeight="1">
      <c r="B17" s="169" t="s">
        <v>213</v>
      </c>
      <c r="C17" s="169">
        <v>37371</v>
      </c>
      <c r="D17" s="169" t="s">
        <v>267</v>
      </c>
      <c r="E17" s="169" t="s">
        <v>268</v>
      </c>
      <c r="F17" s="169" t="s">
        <v>147</v>
      </c>
      <c r="G17" s="170">
        <v>1.03</v>
      </c>
      <c r="H17" s="171">
        <v>1</v>
      </c>
      <c r="I17" s="172">
        <f t="shared" si="0"/>
        <v>1.03</v>
      </c>
      <c r="J17" s="173"/>
      <c r="K17" s="173"/>
    </row>
    <row r="18" spans="2:11" ht="42" customHeight="1">
      <c r="B18" s="169" t="s">
        <v>213</v>
      </c>
      <c r="C18" s="169">
        <v>37372</v>
      </c>
      <c r="D18" s="169" t="s">
        <v>269</v>
      </c>
      <c r="E18" s="169" t="s">
        <v>266</v>
      </c>
      <c r="F18" s="169" t="s">
        <v>147</v>
      </c>
      <c r="G18" s="170">
        <v>1.1399999999999999</v>
      </c>
      <c r="H18" s="171">
        <v>1</v>
      </c>
      <c r="I18" s="172">
        <f t="shared" si="0"/>
        <v>1.1399999999999999</v>
      </c>
      <c r="J18" s="173"/>
      <c r="K18" s="173"/>
    </row>
    <row r="19" spans="2:11" ht="27.75" customHeight="1">
      <c r="B19" s="169" t="s">
        <v>213</v>
      </c>
      <c r="C19" s="169">
        <v>37373</v>
      </c>
      <c r="D19" s="169" t="s">
        <v>270</v>
      </c>
      <c r="E19" s="169" t="s">
        <v>271</v>
      </c>
      <c r="F19" s="169" t="s">
        <v>147</v>
      </c>
      <c r="G19" s="170">
        <v>7.0000000000000007E-2</v>
      </c>
      <c r="H19" s="171">
        <v>1</v>
      </c>
      <c r="I19" s="172">
        <f t="shared" si="0"/>
        <v>7.0000000000000007E-2</v>
      </c>
      <c r="J19" s="173"/>
      <c r="K19" s="173"/>
    </row>
    <row r="20" spans="2:11" ht="27.75" customHeight="1">
      <c r="B20" s="169" t="s">
        <v>213</v>
      </c>
      <c r="C20" s="169">
        <v>43460</v>
      </c>
      <c r="D20" s="169" t="s">
        <v>272</v>
      </c>
      <c r="E20" s="169" t="s">
        <v>273</v>
      </c>
      <c r="F20" s="169" t="s">
        <v>147</v>
      </c>
      <c r="G20" s="170">
        <v>0.86</v>
      </c>
      <c r="H20" s="171">
        <v>1</v>
      </c>
      <c r="I20" s="172">
        <f t="shared" si="0"/>
        <v>0.86</v>
      </c>
      <c r="J20" s="173"/>
      <c r="K20" s="173"/>
    </row>
    <row r="21" spans="2:11" ht="29.25" customHeight="1">
      <c r="B21" s="174" t="s">
        <v>213</v>
      </c>
      <c r="C21" s="174">
        <v>43461</v>
      </c>
      <c r="D21" s="174" t="s">
        <v>274</v>
      </c>
      <c r="E21" s="174" t="s">
        <v>273</v>
      </c>
      <c r="F21" s="174" t="s">
        <v>147</v>
      </c>
      <c r="G21" s="175">
        <v>0.32</v>
      </c>
      <c r="H21" s="176">
        <v>1</v>
      </c>
      <c r="I21" s="177">
        <f t="shared" si="0"/>
        <v>0.32</v>
      </c>
      <c r="J21" s="173"/>
      <c r="K21" s="173"/>
    </row>
    <row r="22" spans="2:11" ht="27.75" customHeight="1">
      <c r="B22" s="169" t="s">
        <v>213</v>
      </c>
      <c r="C22" s="169">
        <v>43484</v>
      </c>
      <c r="D22" s="169" t="s">
        <v>275</v>
      </c>
      <c r="E22" s="169" t="s">
        <v>273</v>
      </c>
      <c r="F22" s="169" t="s">
        <v>147</v>
      </c>
      <c r="G22" s="170">
        <v>1.1399999999999999</v>
      </c>
      <c r="H22" s="171">
        <v>1</v>
      </c>
      <c r="I22" s="172">
        <f t="shared" si="0"/>
        <v>1.1399999999999999</v>
      </c>
      <c r="J22" s="173"/>
      <c r="K22" s="173"/>
    </row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E1BE7-826B-4621-9ED3-4701CE39B331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132d983b-bc52-4905-b3a2-4655d790e7b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706c7f7c-e32b-4162-b9b5-46b4313c91a4"/>
  </ds:schemaRefs>
</ds:datastoreItem>
</file>

<file path=customXml/itemProps2.xml><?xml version="1.0" encoding="utf-8"?>
<ds:datastoreItem xmlns:ds="http://schemas.openxmlformats.org/officeDocument/2006/customXml" ds:itemID="{8555296C-1F33-421B-9694-AAD121B5D736}"/>
</file>

<file path=customXml/itemProps3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27</vt:i4>
      </vt:variant>
    </vt:vector>
  </HeadingPairs>
  <TitlesOfParts>
    <vt:vector size="40" baseType="lpstr">
      <vt:lpstr>Valor da Contratação</vt:lpstr>
      <vt:lpstr>Resumo</vt:lpstr>
      <vt:lpstr>Equipe Técnica</vt:lpstr>
      <vt:lpstr>Base Santa Maria</vt:lpstr>
      <vt:lpstr>Desl. Base Santa Maria</vt:lpstr>
      <vt:lpstr>Custo Eng. Eletricista</vt:lpstr>
      <vt:lpstr>Comp. Eng. Eletricista</vt:lpstr>
      <vt:lpstr>Custo Oficial de Manutenção</vt:lpstr>
      <vt:lpstr>Comp. Oficial de Manutenção</vt:lpstr>
      <vt:lpstr>Comp. Veículo</vt:lpstr>
      <vt:lpstr>Unidades</vt:lpstr>
      <vt:lpstr>BDI</vt:lpstr>
      <vt:lpstr>Divisão Custos ISSQN</vt:lpstr>
      <vt:lpstr>'Base Santa Maria'!_xlnm_Print_Area</vt:lpstr>
      <vt:lpstr>'Desl. Base Santa Maria'!_xlnm_Print_Area</vt:lpstr>
      <vt:lpstr>'Equipe Técnica'!_xlnm_Print_Area</vt:lpstr>
      <vt:lpstr>Unidades!_xlnm_Print_Area</vt:lpstr>
      <vt:lpstr>'Base Santa Maria'!_xlnm_Print_Area_0</vt:lpstr>
      <vt:lpstr>'Desl. Base Santa Maria'!_xlnm_Print_Area_0</vt:lpstr>
      <vt:lpstr>'Equipe Técnica'!_xlnm_Print_Area_0</vt:lpstr>
      <vt:lpstr>Unidades!_xlnm_Print_Area_0</vt:lpstr>
      <vt:lpstr>'Base Santa Maria'!Area_de_impressao</vt:lpstr>
      <vt:lpstr>BDI!Area_de_impressao</vt:lpstr>
      <vt:lpstr>'Desl. Base Santa Maria'!Area_de_impressao</vt:lpstr>
      <vt:lpstr>'Equipe Técnica'!Area_de_impressao</vt:lpstr>
      <vt:lpstr>Unidades!Area_de_impressao</vt:lpstr>
      <vt:lpstr>'Base Santa Maria'!Excel_BuiltIn_Print_Area</vt:lpstr>
      <vt:lpstr>Unidades!Excel_BuiltIn_Print_Area</vt:lpstr>
      <vt:lpstr>'Base Santa Maria'!Print_Area_0</vt:lpstr>
      <vt:lpstr>'Desl. Base Santa Maria'!Print_Area_0</vt:lpstr>
      <vt:lpstr>'Equipe Técnica'!Print_Area_0</vt:lpstr>
      <vt:lpstr>Unidades!Print_Area_0</vt:lpstr>
      <vt:lpstr>'Base Santa Maria'!Print_Area_0_0</vt:lpstr>
      <vt:lpstr>'Desl. Base Santa Maria'!Print_Area_0_0</vt:lpstr>
      <vt:lpstr>'Equipe Técnica'!Print_Area_0_0</vt:lpstr>
      <vt:lpstr>Unidades!Print_Area_0_0</vt:lpstr>
      <vt:lpstr>'Base Santa Maria'!Print_Area_0_0_0</vt:lpstr>
      <vt:lpstr>'Desl. Base Santa Maria'!Print_Area_0_0_0</vt:lpstr>
      <vt:lpstr>'Base Santa Maria'!Print_Area_0_0_0_0</vt:lpstr>
      <vt:lpstr>'Desl. Base Santa Maria'!Print_Area_0_0_0_0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2023-12-07T12:53:15Z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